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05" windowWidth="8460" windowHeight="3735" activeTab="0"/>
  </bookViews>
  <sheets>
    <sheet name="KLSE" sheetId="1" r:id="rId1"/>
    <sheet name="QTR" sheetId="2" r:id="rId2"/>
    <sheet name="SUM" sheetId="3" r:id="rId3"/>
    <sheet name="CONS-P&amp;L,BS" sheetId="4" r:id="rId4"/>
    <sheet name="Analysis" sheetId="5" r:id="rId5"/>
    <sheet name="Compare" sheetId="6" r:id="rId6"/>
    <sheet name="SEGMENTAL" sheetId="7" r:id="rId7"/>
    <sheet name="DMSB" sheetId="8" r:id="rId8"/>
    <sheet name="MBMI" sheetId="9" r:id="rId9"/>
    <sheet name="AS" sheetId="10" r:id="rId10"/>
    <sheet name="CMC" sheetId="11" r:id="rId11"/>
    <sheet name="ACC-DMSB" sheetId="12" r:id="rId12"/>
    <sheet name="DMSB-BS" sheetId="13" r:id="rId13"/>
    <sheet name="ACC-BVI" sheetId="14" r:id="rId14"/>
    <sheet name="ACC-CMC" sheetId="15" r:id="rId15"/>
    <sheet name="ACC-MBMI" sheetId="16" r:id="rId16"/>
    <sheet name="ACC-PERO2" sheetId="17" r:id="rId17"/>
    <sheet name="Sheet7" sheetId="18" r:id="rId18"/>
    <sheet name="Sheet6" sheetId="19" r:id="rId19"/>
    <sheet name="Sheet3" sheetId="20" r:id="rId20"/>
  </sheets>
  <externalReferences>
    <externalReference r:id="rId23"/>
    <externalReference r:id="rId24"/>
    <externalReference r:id="rId25"/>
    <externalReference r:id="rId26"/>
  </externalReferences>
  <definedNames>
    <definedName name="_xlnm.Print_Area" localSheetId="3">'CONS-P&amp;L,BS'!$A$1:$AR$163</definedName>
  </definedNames>
  <calcPr calcMode="autoNoTable" fullCalcOnLoad="1"/>
</workbook>
</file>

<file path=xl/sharedStrings.xml><?xml version="1.0" encoding="utf-8"?>
<sst xmlns="http://schemas.openxmlformats.org/spreadsheetml/2006/main" count="1410" uniqueCount="655">
  <si>
    <t>QUARTERLY REPORT</t>
  </si>
  <si>
    <t>RM’000</t>
  </si>
  <si>
    <t>(a)</t>
  </si>
  <si>
    <t>Turnover</t>
  </si>
  <si>
    <t>(b)</t>
  </si>
  <si>
    <t>Investment Income</t>
  </si>
  <si>
    <t>-</t>
  </si>
  <si>
    <t>(c)</t>
  </si>
  <si>
    <t>Other Income including interest income</t>
  </si>
  <si>
    <t>Operating profit / (loss) before interest on borrowings, depreciation and amortisation, exceptional items, income tax, minority interests and extraordinary items</t>
  </si>
  <si>
    <t>Interest on borrowings</t>
  </si>
  <si>
    <t>Depreciation and amortisation</t>
  </si>
  <si>
    <t>(d)</t>
  </si>
  <si>
    <t>Exceptional items</t>
  </si>
  <si>
    <t>(e)</t>
  </si>
  <si>
    <t>Operating profit / (loss) after interest on borrowings, depreciation and amortisation and exceptional items but before income tax, minority interests and extraordinary items</t>
  </si>
  <si>
    <t>(f)</t>
  </si>
  <si>
    <t>Share in the results of associated companies</t>
  </si>
  <si>
    <t>(g)</t>
  </si>
  <si>
    <t>Profit / (loss) before taxation, minority interests and extraordinary items</t>
  </si>
  <si>
    <t>(h)</t>
  </si>
  <si>
    <t>Taxation</t>
  </si>
  <si>
    <t>(i)</t>
  </si>
  <si>
    <t>(i) Profit / (loss) after taxation before deducting minority interest</t>
  </si>
  <si>
    <t>(ii) Less minority interests</t>
  </si>
  <si>
    <t>(j)</t>
  </si>
  <si>
    <t>Profit / (loss) after taxation attributable to members of the company</t>
  </si>
  <si>
    <t>(k)</t>
  </si>
  <si>
    <t>(i) Extraordinary items</t>
  </si>
  <si>
    <t>(iii) Extraordinary items attributable to members of the company</t>
  </si>
  <si>
    <t>(l)</t>
  </si>
  <si>
    <t>Profit / (loss) after taxation and extraordinary items attributable to members of the company</t>
  </si>
  <si>
    <t>Earnings per share base on 2(j) above after deducting any provision for preference dividends, if any:-</t>
  </si>
  <si>
    <t>As at End of Current Quarter</t>
  </si>
  <si>
    <t>As at Preceding Financial Year End</t>
  </si>
  <si>
    <t>Fixed Assets</t>
  </si>
  <si>
    <t>Investments in Associated Companies</t>
  </si>
  <si>
    <t>Long Term Investments</t>
  </si>
  <si>
    <t>3a</t>
  </si>
  <si>
    <t>Hire Purchase Receivable</t>
  </si>
  <si>
    <t>Intangible Assets</t>
  </si>
  <si>
    <t>Current Assets</t>
  </si>
  <si>
    <t>Stocks</t>
  </si>
  <si>
    <t>Trade Debtors</t>
  </si>
  <si>
    <t>Short Term Investments</t>
  </si>
  <si>
    <t>Cash</t>
  </si>
  <si>
    <t>Others -  provide details, if material</t>
  </si>
  <si>
    <t>Other Debtors</t>
  </si>
  <si>
    <t>Current Liabilities</t>
  </si>
  <si>
    <t>Short Term Borrowings</t>
  </si>
  <si>
    <t>Trade Creditors</t>
  </si>
  <si>
    <t>Other Creditors</t>
  </si>
  <si>
    <t>Provision for Taxation</t>
  </si>
  <si>
    <t>Others – provide details, if material</t>
  </si>
  <si>
    <t>Due to Related Companies</t>
  </si>
  <si>
    <t>Proposed Dividends</t>
  </si>
  <si>
    <t>Net Current Assets or Current Liabilities</t>
  </si>
  <si>
    <t>Share holders’ Funds</t>
  </si>
  <si>
    <t>Share Capital</t>
  </si>
  <si>
    <t>Reserves</t>
  </si>
  <si>
    <t>Share Premium</t>
  </si>
  <si>
    <t>Revaluation Reserve</t>
  </si>
  <si>
    <t>Capital Reserve</t>
  </si>
  <si>
    <t>Statutory Reserve</t>
  </si>
  <si>
    <t>Retained Profit</t>
  </si>
  <si>
    <t>Others</t>
  </si>
  <si>
    <t>Minority Interests</t>
  </si>
  <si>
    <t>Long Term Borrowings</t>
  </si>
  <si>
    <t>Other Long Term Liabilities</t>
  </si>
  <si>
    <t>Accounting Policies</t>
  </si>
  <si>
    <t>There is no exceptional item for the financial year to date.</t>
  </si>
  <si>
    <t>Extraordinary Items</t>
  </si>
  <si>
    <t>There is no extraordinary item for the financial year to date.</t>
  </si>
  <si>
    <t xml:space="preserve">  Quarter</t>
  </si>
  <si>
    <t>Year to Date</t>
  </si>
  <si>
    <t>Malaysian taxation</t>
  </si>
  <si>
    <t>Income Tax</t>
  </si>
  <si>
    <t>Current Year</t>
  </si>
  <si>
    <t>Prior Year</t>
  </si>
  <si>
    <t>Deferred tax</t>
  </si>
  <si>
    <t>Foreign taxation</t>
  </si>
  <si>
    <t>Pre-acquisition Profits</t>
  </si>
  <si>
    <t>There is no pre-acquisition profit for the current financial year to date.</t>
  </si>
  <si>
    <t>Investments and Properties</t>
  </si>
  <si>
    <t>Quoted Investment</t>
  </si>
  <si>
    <t>There is no purchase or sale of quoted securities for the current financial  year to date.</t>
  </si>
  <si>
    <t>Effect of Changes in Composition of Company</t>
  </si>
  <si>
    <t>Corporate Developments</t>
  </si>
  <si>
    <t>Seasonality or cyclicality of Operations</t>
  </si>
  <si>
    <t>Debt and Equity Securities</t>
  </si>
  <si>
    <t>There are no issuances and repayments of debt and equity securities, share buy-back, share cancellations, shares held as treasury shares and resale of treasury shares for the current financial year to date.</t>
  </si>
  <si>
    <t>Group borrowings and debt securities as at the end of the reporting period:-</t>
  </si>
  <si>
    <t>Group Borrowings and Debt Securities</t>
  </si>
  <si>
    <t>RM ’000</t>
  </si>
  <si>
    <t>Secured</t>
  </si>
  <si>
    <t>Unsecured</t>
  </si>
  <si>
    <t>Litigation</t>
  </si>
  <si>
    <t>There is no material litigation as at the date of this reporting.</t>
  </si>
  <si>
    <t>Segment Reporting</t>
  </si>
  <si>
    <t>By Activities</t>
  </si>
  <si>
    <t>Profit/(Loss) before taxation</t>
  </si>
  <si>
    <t>Investment Holding</t>
  </si>
  <si>
    <t>Distribution of motor vehicles</t>
  </si>
  <si>
    <t>Manufacturing</t>
  </si>
  <si>
    <t xml:space="preserve">                -</t>
  </si>
  <si>
    <t xml:space="preserve">              -</t>
  </si>
  <si>
    <t xml:space="preserve">By Geographical </t>
  </si>
  <si>
    <t>Malaysia</t>
  </si>
  <si>
    <t>New Zealand</t>
  </si>
  <si>
    <t>Comments on Material Change in Quarterly Profits Before Taxation</t>
  </si>
  <si>
    <t>Review of Performance</t>
  </si>
  <si>
    <t>Current Year Prospect</t>
  </si>
  <si>
    <t>Profit forecast</t>
  </si>
  <si>
    <t>Dividend</t>
  </si>
  <si>
    <t xml:space="preserve">BY ORDER OF THE BOARD </t>
  </si>
  <si>
    <t>MBM RESOURCES BERHAD</t>
  </si>
  <si>
    <t>Company Secretary</t>
  </si>
  <si>
    <t>Kuala Lumpur</t>
  </si>
  <si>
    <t>Total Assets</t>
  </si>
  <si>
    <t>Financial Instruments with Off Balance Sheet Risk</t>
  </si>
  <si>
    <t>Contingent Liabilities</t>
  </si>
  <si>
    <t xml:space="preserve">Secured                                                                                          </t>
  </si>
  <si>
    <t xml:space="preserve">Denominated in </t>
  </si>
  <si>
    <t>Malaysian Currency</t>
  </si>
  <si>
    <t>New Zealand Currency</t>
  </si>
  <si>
    <t>Exceptional Items</t>
  </si>
  <si>
    <t>CONSOLIDATED INCOME STATEMENT ( RM '000 )</t>
  </si>
  <si>
    <t>CONSOLIDATED BALANCE SHEET ( RM '000 )</t>
  </si>
  <si>
    <t>1.</t>
  </si>
  <si>
    <t>2.</t>
  </si>
  <si>
    <t>3.</t>
  </si>
  <si>
    <t>4.</t>
  </si>
  <si>
    <t>5.</t>
  </si>
  <si>
    <t>6.</t>
  </si>
  <si>
    <t>7.</t>
  </si>
  <si>
    <t>8.</t>
  </si>
  <si>
    <t>9.</t>
  </si>
  <si>
    <t>10.</t>
  </si>
  <si>
    <t>11.</t>
  </si>
  <si>
    <t>12.</t>
  </si>
  <si>
    <t>13.</t>
  </si>
  <si>
    <t>14.</t>
  </si>
  <si>
    <t>15.</t>
  </si>
  <si>
    <t>16.</t>
  </si>
  <si>
    <t>17.</t>
  </si>
  <si>
    <t>18.</t>
  </si>
  <si>
    <t>19.</t>
  </si>
  <si>
    <t>20.</t>
  </si>
  <si>
    <t>31/12/1999</t>
  </si>
  <si>
    <t>FINANCIAL RESULTS 1999</t>
  </si>
  <si>
    <t>YTD</t>
  </si>
  <si>
    <t>QTR</t>
  </si>
  <si>
    <t>SEPT</t>
  </si>
  <si>
    <t xml:space="preserve">Operating profit / (loss) before interest on borrowings, </t>
  </si>
  <si>
    <t xml:space="preserve">depreciation and amortisation, exceptional items, </t>
  </si>
  <si>
    <t>income tax, minority interests and extraordinary items</t>
  </si>
  <si>
    <t xml:space="preserve">Operating profit / (loss) after interest on borrowings,  </t>
  </si>
  <si>
    <t>depreciation and amortisation and exceptional items</t>
  </si>
  <si>
    <t>but before income tax, minority interests and extraordinary items</t>
  </si>
  <si>
    <t xml:space="preserve">Profit / (loss) after taxation and extraordinary items attributable to </t>
  </si>
  <si>
    <t>members of the company</t>
  </si>
  <si>
    <t xml:space="preserve">Earnings per share base on 2(j) above after deducting any provision </t>
  </si>
  <si>
    <t>for preference dividends, if any:-</t>
  </si>
  <si>
    <t>DEC</t>
  </si>
  <si>
    <t>Preceding Year</t>
  </si>
  <si>
    <t xml:space="preserve">Current </t>
  </si>
  <si>
    <t xml:space="preserve">Year </t>
  </si>
  <si>
    <t>to Date</t>
  </si>
  <si>
    <t>Quarter</t>
  </si>
  <si>
    <t xml:space="preserve"> </t>
  </si>
  <si>
    <t>Cumulative</t>
  </si>
  <si>
    <t>Assets</t>
  </si>
  <si>
    <t>Liabilities</t>
  </si>
  <si>
    <t>Current</t>
  </si>
  <si>
    <t>Other</t>
  </si>
  <si>
    <t xml:space="preserve">Net </t>
  </si>
  <si>
    <t>Shareholders Fund</t>
  </si>
  <si>
    <t>Check</t>
  </si>
  <si>
    <t>21.</t>
  </si>
  <si>
    <t>a.</t>
  </si>
  <si>
    <t>Currency</t>
  </si>
  <si>
    <t>Equivalent in RM</t>
  </si>
  <si>
    <t>Expiry Date</t>
  </si>
  <si>
    <t>As at the date of this announcement, the group has the following foreign currency contract outstanding:</t>
  </si>
  <si>
    <t>The foreign currency contract is to hedge against the group's purchases denominated in foreign currency.  The contracted rates will be used to convert the foreign currency to Malaysian Ringgit</t>
  </si>
  <si>
    <t>Notes</t>
  </si>
  <si>
    <t>Contracted Amounts</t>
  </si>
  <si>
    <t>The main activity of the group is in the distributorship of motor vehicles and is therefore dependent on the economy of the country.</t>
  </si>
  <si>
    <t>CONSOLIDATED BALANCE SHEET</t>
  </si>
  <si>
    <t>Note</t>
  </si>
  <si>
    <t>MBM Res</t>
  </si>
  <si>
    <t>Daihatsu</t>
  </si>
  <si>
    <t>MBMI(Sub)</t>
  </si>
  <si>
    <t>Sun Motors Limited</t>
  </si>
  <si>
    <t>Auto</t>
  </si>
  <si>
    <t>SUB-TOTAL</t>
  </si>
  <si>
    <t>Consol Entries</t>
  </si>
  <si>
    <t>BALANCE</t>
  </si>
  <si>
    <t>December'98</t>
  </si>
  <si>
    <t>C</t>
  </si>
  <si>
    <t>P</t>
  </si>
  <si>
    <t>RM</t>
  </si>
  <si>
    <t>NZD</t>
  </si>
  <si>
    <t>F/rate</t>
  </si>
  <si>
    <t>&lt;301&gt;</t>
  </si>
  <si>
    <t>&lt;302&gt;</t>
  </si>
  <si>
    <t>&lt;303&gt;</t>
  </si>
  <si>
    <t>&lt;304&gt;</t>
  </si>
  <si>
    <t>&lt;305&gt;</t>
  </si>
  <si>
    <t>&lt;311&gt;</t>
  </si>
  <si>
    <t>&lt;312&gt;</t>
  </si>
  <si>
    <t>&lt;321&gt;</t>
  </si>
  <si>
    <t>&lt;322&gt;</t>
  </si>
  <si>
    <t>&lt;323&gt;</t>
  </si>
  <si>
    <t>&lt;324&gt;</t>
  </si>
  <si>
    <t>&lt;325&gt;</t>
  </si>
  <si>
    <t>&lt;331&gt;</t>
  </si>
  <si>
    <t>&lt;332&gt;</t>
  </si>
  <si>
    <t>&lt;333&gt;</t>
  </si>
  <si>
    <t>&lt;341&gt;</t>
  </si>
  <si>
    <t>&lt;342&gt;</t>
  </si>
  <si>
    <t>&lt;343&gt;</t>
  </si>
  <si>
    <t>&lt;344&gt;</t>
  </si>
  <si>
    <t>&lt;345&gt;</t>
  </si>
  <si>
    <t>Total</t>
  </si>
  <si>
    <t>Sales</t>
  </si>
  <si>
    <t>Investment  Income</t>
  </si>
  <si>
    <t>Cost of sales</t>
  </si>
  <si>
    <t>Gross profit</t>
  </si>
  <si>
    <t>Profit before taxation</t>
  </si>
  <si>
    <t>Share of profit in associated coy</t>
  </si>
  <si>
    <t>Share of tax in associated coy</t>
  </si>
  <si>
    <t>Profit after taxation</t>
  </si>
  <si>
    <t>Minority interest</t>
  </si>
  <si>
    <t>Profit attributable to shareholders</t>
  </si>
  <si>
    <t>Retained profits b/f</t>
  </si>
  <si>
    <t>Profit available for appropriation</t>
  </si>
  <si>
    <t>Proposed dividend</t>
  </si>
  <si>
    <t>Retained profits c/f</t>
  </si>
  <si>
    <t>CURRENT ASSETS</t>
  </si>
  <si>
    <t>Cash and bank balances</t>
  </si>
  <si>
    <t>Trade debtors</t>
  </si>
  <si>
    <t>Other debtors</t>
  </si>
  <si>
    <t>Due from Med Bumikar Mara</t>
  </si>
  <si>
    <t>Due from holding coy</t>
  </si>
  <si>
    <t>Due from associate coy</t>
  </si>
  <si>
    <t>Due from subsidiaries</t>
  </si>
  <si>
    <t>CURRENT LIABILITIES</t>
  </si>
  <si>
    <t>Bank overdrafts</t>
  </si>
  <si>
    <t>Trade creditors</t>
  </si>
  <si>
    <t>Other creditors</t>
  </si>
  <si>
    <t>Due to holding company</t>
  </si>
  <si>
    <t>Due to related companies</t>
  </si>
  <si>
    <t>Short term loan</t>
  </si>
  <si>
    <t>NET CURRENT ASSETS</t>
  </si>
  <si>
    <t>HIRE PURCHASE RECEIVABLE</t>
  </si>
  <si>
    <t>FIXED ASSETS</t>
  </si>
  <si>
    <t>INVESTMENT IN ASSOCIATED</t>
  </si>
  <si>
    <t>OTHER INVESTMENT</t>
  </si>
  <si>
    <t>INVESTMENT IN SUBSIDIARIES</t>
  </si>
  <si>
    <t>INTANGIBLE ASSETS</t>
  </si>
  <si>
    <t>TERM LOANS</t>
  </si>
  <si>
    <t>RETIREMENT BENEFIT</t>
  </si>
  <si>
    <t>DEFERRED TAXATION</t>
  </si>
  <si>
    <t>MINORITY INTEREST</t>
  </si>
  <si>
    <t>OTHER LONG TERM OBLIGATION</t>
  </si>
  <si>
    <t>SHAREHOLDERS' FUNDS</t>
  </si>
  <si>
    <t>Share capital</t>
  </si>
  <si>
    <t>Reserve arising from consolidation</t>
  </si>
  <si>
    <t>Less cumulative amortisation</t>
  </si>
  <si>
    <t>Net reserve arising from consolidation</t>
  </si>
  <si>
    <t>Share premium</t>
  </si>
  <si>
    <t>Foreign exhange reserve</t>
  </si>
  <si>
    <t>Retained profit</t>
  </si>
  <si>
    <t>NTA</t>
  </si>
  <si>
    <t xml:space="preserve">Total Assets </t>
  </si>
  <si>
    <t xml:space="preserve">                     -Malaysia</t>
  </si>
  <si>
    <t xml:space="preserve">                     -New Zealand</t>
  </si>
  <si>
    <t>Inv. Holdings</t>
  </si>
  <si>
    <t>MV</t>
  </si>
  <si>
    <t>MBM Resources Berhad</t>
  </si>
  <si>
    <t>Daihatsu (Malaysia) Sdn Bhd</t>
  </si>
  <si>
    <t>Acquisition in 1994</t>
  </si>
  <si>
    <t>Pre</t>
  </si>
  <si>
    <t>Post</t>
  </si>
  <si>
    <t>MI</t>
  </si>
  <si>
    <t>Retained profits as at acquisition date</t>
  </si>
  <si>
    <t>Retained profits after acquisition &amp; before 1999</t>
  </si>
  <si>
    <t>Year 1999</t>
  </si>
  <si>
    <t>Dividend proposed 50%</t>
  </si>
  <si>
    <t>Cost of investment</t>
  </si>
  <si>
    <t>Less : Amortisation of reserve ( 25 years)</t>
  </si>
  <si>
    <t xml:space="preserve">           Amortisation b/f (RM540,604 x 5 years)</t>
  </si>
  <si>
    <t xml:space="preserve">           RM13,515,104/25 = RM540,604</t>
  </si>
  <si>
    <t>Reserve arising from consolidation c/f</t>
  </si>
  <si>
    <t>Dr</t>
  </si>
  <si>
    <t>Cr</t>
  </si>
  <si>
    <t>Remarks</t>
  </si>
  <si>
    <t>Journal</t>
  </si>
  <si>
    <t>Dr Share capital</t>
  </si>
  <si>
    <t>Dr RE b/f</t>
  </si>
  <si>
    <t>Cr Investment in subsidiaries</t>
  </si>
  <si>
    <t>Cr Reserve on consolidation</t>
  </si>
  <si>
    <t>Cr MI (B/S)</t>
  </si>
  <si>
    <t>(Being elimination of cost of investment)</t>
  </si>
  <si>
    <t>Dr Reserve on consolidation</t>
  </si>
  <si>
    <t>Cr RE b/f</t>
  </si>
  <si>
    <t>Cr PBT</t>
  </si>
  <si>
    <t>(Being amortisation of reserve arising from consolidation)</t>
  </si>
  <si>
    <t>Cr MI (P&amp;L)</t>
  </si>
  <si>
    <t>(Being MI's share of post acquisition results)</t>
  </si>
  <si>
    <t>Dr Turnover</t>
  </si>
  <si>
    <t>Dr MI (B/S)</t>
  </si>
  <si>
    <t>Cr Dividend proposed</t>
  </si>
  <si>
    <t>Cr Tax expense</t>
  </si>
  <si>
    <t>(Being elimination of dividend proposed to MBMR)</t>
  </si>
  <si>
    <t>Dr B/S-Dividend proposed</t>
  </si>
  <si>
    <t>Cr Due to Holdings</t>
  </si>
  <si>
    <t>Cr Other creditors</t>
  </si>
  <si>
    <t>Consolidation entries for the year ended 31 December 1998</t>
  </si>
  <si>
    <t>MBM Industries Bhd</t>
  </si>
  <si>
    <t>During the financial year 1996, MBM Resources Berhad (MBMR) entered into a sale and purchase agreement for the disposal of the entire issued and paid-up share capital of Tekun Asas S/B and Precision Press Industries S/B to MBM Industries Berhad (MBMI) for a total sale consideration of RM33,748,000 which was satisfied by way of the allotment of 17,999,998 ordinary shares of RM1 each in MBMI at a price of RM1.88 pershare.</t>
  </si>
  <si>
    <t>Subsequent to this exercise, MBMR disposed 39.9% of its equity interest in MBMI consisting of 7,182,000 ordinary shares at RM1.87 each for a total sale consideration of RM13,502,160</t>
  </si>
  <si>
    <t>In 18 December, 1998, the Company has entered into agreement with Hijauwasa to sell 20.2% and the Company will be left with 39.9 equity interest. This will effectively reduced the subsidiary status to associate level subject to approval by FIC. This is deemed in effect from 31 May, 1999.</t>
  </si>
  <si>
    <t>RE</t>
  </si>
  <si>
    <t>Year 1999 loss</t>
  </si>
  <si>
    <t>Dividend paid</t>
  </si>
  <si>
    <t>Goodwill</t>
  </si>
  <si>
    <t>Add realisation of post acquisition profit less goodwill amortised upon</t>
  </si>
  <si>
    <t xml:space="preserve">    restructuring of Tekun Asas and Precision Press</t>
  </si>
  <si>
    <t>Item 1</t>
  </si>
  <si>
    <t>Add realisation of amortisation of goodwill acquired by MI upon restructuring</t>
  </si>
  <si>
    <t>Item 2</t>
  </si>
  <si>
    <t>Less goodwill elimination of goodwill arising from the restructuring</t>
  </si>
  <si>
    <t>Less MI's share of post acquisition profits as at 31.12.97</t>
  </si>
  <si>
    <t>Less loss for the current year</t>
  </si>
  <si>
    <t>Add MI's share of loss</t>
  </si>
  <si>
    <t>Less interim tax exempt dividend of 1000%</t>
  </si>
  <si>
    <t>Add MI's share of interim tax exempt dividend</t>
  </si>
  <si>
    <t>Dr Goodwill</t>
  </si>
  <si>
    <t>Cr MI B/S</t>
  </si>
  <si>
    <t>(Being elimination of investment in subsidiary)</t>
  </si>
  <si>
    <t>Cr Goodwill</t>
  </si>
  <si>
    <t>(Being elimination of goodwill arising from restructuring)</t>
  </si>
  <si>
    <t>Cr MI P&amp;L</t>
  </si>
  <si>
    <t>(Being MI's share of post acquisition profit)</t>
  </si>
  <si>
    <t>Dr MI B/S</t>
  </si>
  <si>
    <t>(Being elimination of dividend paid during the year)</t>
  </si>
  <si>
    <t>(Being realisation of post acquisition profits - Item 1 and 2)</t>
  </si>
  <si>
    <t>Consolidation adjustments in prior year</t>
  </si>
  <si>
    <t>Elimination of goodwill</t>
  </si>
  <si>
    <t>MI's share of post acquisition profit</t>
  </si>
  <si>
    <t>Realisation of MI's share of post acquisition profits</t>
  </si>
  <si>
    <t>upon restructuring in prior years</t>
  </si>
  <si>
    <t>RE b/f</t>
  </si>
  <si>
    <t>Share of post-acquisition loss of 60.1% in MBM Industries</t>
  </si>
  <si>
    <t>Disposal of 20.2% portion</t>
  </si>
  <si>
    <t>a</t>
  </si>
  <si>
    <t>Share of post-acquisition loss (39.9%) transferred to investment in assoc</t>
  </si>
  <si>
    <t xml:space="preserve">Cost of investment </t>
  </si>
  <si>
    <t>Disposal of 20.2%</t>
  </si>
  <si>
    <t>b</t>
  </si>
  <si>
    <t>Remaining investment in associate of 39.9%</t>
  </si>
  <si>
    <t>Net disposal proceed</t>
  </si>
  <si>
    <t>Less: Carrying value of shares disposed</t>
  </si>
  <si>
    <t>Gain to parent as reflected in its profit and loss</t>
  </si>
  <si>
    <t>Less: Realisation of post-acquisition loss</t>
  </si>
  <si>
    <t>Current year loss       (RM75,000 x 20.2% / 60.1%)</t>
  </si>
  <si>
    <t>Group's gain on disposal of investment</t>
  </si>
  <si>
    <t>Cr Investment in associate</t>
  </si>
  <si>
    <t>Cr Gain on disposal of investment - P&amp;L</t>
  </si>
  <si>
    <t>(To reinstate RE b/f )</t>
  </si>
  <si>
    <t>Dr Current year loss</t>
  </si>
  <si>
    <t>(To account for the share of loss in the subsidiary for the 5 month period)</t>
  </si>
  <si>
    <t>Dr Investment in associate</t>
  </si>
  <si>
    <t>Cr Share of profit</t>
  </si>
  <si>
    <t>Cr Investment in Associates Co</t>
  </si>
  <si>
    <t>Recap:</t>
  </si>
  <si>
    <t>Investment in associate - MBM Industries Bhd</t>
  </si>
  <si>
    <t>Cost of investment (39.9%)</t>
  </si>
  <si>
    <t>Adjustments</t>
  </si>
  <si>
    <t>Share of post-acquisition loss b/f from prior year</t>
  </si>
  <si>
    <t>Autostyle Enterprise Ltd (acquired in 1997)</t>
  </si>
  <si>
    <t>(Being elimination of cost of investment in Autostyle)</t>
  </si>
  <si>
    <t>(Being elimination of cost of investment in Sun Motors via Autostyle)</t>
  </si>
  <si>
    <t>Dr PBT</t>
  </si>
  <si>
    <t>RM6,259 x 2 / 25 years</t>
  </si>
  <si>
    <t>(Being amortisation of goodwill)</t>
  </si>
  <si>
    <t>Investment in associated company</t>
  </si>
  <si>
    <t>1998</t>
  </si>
  <si>
    <t>Dr Share of tax</t>
  </si>
  <si>
    <t>SEPT'99</t>
  </si>
  <si>
    <t xml:space="preserve">ACTUAL </t>
  </si>
  <si>
    <t>ACTUAL</t>
  </si>
  <si>
    <t>GROUP</t>
  </si>
  <si>
    <t>Actual</t>
  </si>
  <si>
    <t>SEPT 99</t>
  </si>
  <si>
    <t>COLONIAL MOTOR COMPANY LIMITED</t>
  </si>
  <si>
    <t>Actual YTD</t>
  </si>
  <si>
    <t>Estimate</t>
  </si>
  <si>
    <t>Profit/Loss before taxation</t>
  </si>
  <si>
    <t>Provision for taxation</t>
  </si>
  <si>
    <t>Profit/Loss after taxation</t>
  </si>
  <si>
    <t>Unappropriated profit at</t>
  </si>
  <si>
    <t>beginning of the period</t>
  </si>
  <si>
    <t>Unappropriated profit at end</t>
  </si>
  <si>
    <t>of the period</t>
  </si>
  <si>
    <t>MBM INDUSTRIES SDN.BHD.</t>
  </si>
  <si>
    <t>SEPT '99</t>
  </si>
  <si>
    <t>Jan-May'99</t>
  </si>
  <si>
    <t>Dividend Paid</t>
  </si>
  <si>
    <t>TEKUN ASAS SDN.BHD</t>
  </si>
  <si>
    <t>Gross Profit</t>
  </si>
  <si>
    <t xml:space="preserve">Add: Sundry Income/(Non-operating </t>
  </si>
  <si>
    <t xml:space="preserve">           Expenses)</t>
  </si>
  <si>
    <t>Less: Administration expenses</t>
  </si>
  <si>
    <t xml:space="preserve">         Selling &amp; Distribution expenses</t>
  </si>
  <si>
    <t>Net Profit/Loss</t>
  </si>
  <si>
    <t xml:space="preserve">PRECISION PRESS </t>
  </si>
  <si>
    <t>INDUSTRIES SDN.BHD.</t>
  </si>
  <si>
    <t>PERODUA SDN.BHD</t>
  </si>
  <si>
    <t>Consolidated Profit &amp; Loss</t>
  </si>
  <si>
    <t>ADJUSTED</t>
  </si>
  <si>
    <t>DMSB</t>
  </si>
  <si>
    <t>DMMS</t>
  </si>
  <si>
    <t>DMME</t>
  </si>
  <si>
    <t>DMMC</t>
  </si>
  <si>
    <t xml:space="preserve"> BALANCE</t>
  </si>
  <si>
    <t>Deposit with a licensed bank</t>
  </si>
  <si>
    <t>Due from penultimate holding coy</t>
  </si>
  <si>
    <t>Due from holding company</t>
  </si>
  <si>
    <t>Due from fellow subsidiaries</t>
  </si>
  <si>
    <t>Bank Overdrafts</t>
  </si>
  <si>
    <t>Due to fellow subsidiaries</t>
  </si>
  <si>
    <t>QUARTERLY FINANCIAL REPORT 2000</t>
  </si>
  <si>
    <t>A: 31.12.1999</t>
  </si>
  <si>
    <t>Interest Expense</t>
  </si>
  <si>
    <t>Depreciation &amp; Amortisation Exp.</t>
  </si>
  <si>
    <t>Depreciation &amp; Amortisation Exp</t>
  </si>
  <si>
    <t xml:space="preserve">                    - Malaysian</t>
  </si>
  <si>
    <t xml:space="preserve">                    - Foreign</t>
  </si>
  <si>
    <t>Last Qtr</t>
  </si>
  <si>
    <t>DAIHATSU MALAYSIA SDN.BHD</t>
  </si>
  <si>
    <t>BALANCE SHEET AS AT 31 MARCH 2000</t>
  </si>
  <si>
    <t>DMMSB</t>
  </si>
  <si>
    <t>Cash &amp; Bank Balances</t>
  </si>
  <si>
    <t>Cash  In Hand</t>
  </si>
  <si>
    <t>Cash  In Transit</t>
  </si>
  <si>
    <t>Cash  In Bank</t>
  </si>
  <si>
    <t>Petty Cash Fund</t>
  </si>
  <si>
    <t>Bankers Acceptance</t>
  </si>
  <si>
    <t>Fixed Deposits</t>
  </si>
  <si>
    <t>Account Receivables Trade</t>
  </si>
  <si>
    <t>Provision for Doubtful Debts</t>
  </si>
  <si>
    <t>Merchandise in Transit</t>
  </si>
  <si>
    <t>Merchandise in Stock</t>
  </si>
  <si>
    <t>Demonstration Vehicles</t>
  </si>
  <si>
    <t>Prov. For Stock Write off</t>
  </si>
  <si>
    <t>Other Debtors &amp; Prepaid</t>
  </si>
  <si>
    <t>Bill for Collection</t>
  </si>
  <si>
    <t>Prepaid Interest</t>
  </si>
  <si>
    <t>Prepaid Com - Salesman</t>
  </si>
  <si>
    <t>Prepaid Expenses</t>
  </si>
  <si>
    <t>Prepaid Com - Dealers</t>
  </si>
  <si>
    <t>Prepaid Charges</t>
  </si>
  <si>
    <t>Prepaid Com - Others</t>
  </si>
  <si>
    <t>Account Receivables Misc</t>
  </si>
  <si>
    <t>Payment in Suspense</t>
  </si>
  <si>
    <t>Tax Recoverable</t>
  </si>
  <si>
    <t>Employees Loan</t>
  </si>
  <si>
    <t>Deposit Paid</t>
  </si>
  <si>
    <t>Golf Club Membership</t>
  </si>
  <si>
    <t>Interco Transaction</t>
  </si>
  <si>
    <t>Amount Due from Subsidiaries</t>
  </si>
  <si>
    <t xml:space="preserve">                                       -  DMMS</t>
  </si>
  <si>
    <t xml:space="preserve">                                       -  DMME</t>
  </si>
  <si>
    <t xml:space="preserve">                                       -  DMMC</t>
  </si>
  <si>
    <t>Amount Due From Holdings Co</t>
  </si>
  <si>
    <t xml:space="preserve">                                       -  MBMR</t>
  </si>
  <si>
    <t xml:space="preserve">                                       -  DMSB</t>
  </si>
  <si>
    <t xml:space="preserve">Land &amp; Building </t>
  </si>
  <si>
    <t>Advertising Sign</t>
  </si>
  <si>
    <t>Renovation</t>
  </si>
  <si>
    <t>Plant &amp; Machinery</t>
  </si>
  <si>
    <t>Machinery, Tools &amp; Equipment</t>
  </si>
  <si>
    <t>Vehicles</t>
  </si>
  <si>
    <t>Office Equipment</t>
  </si>
  <si>
    <t>Computer</t>
  </si>
  <si>
    <t>Computer Software</t>
  </si>
  <si>
    <t>Furniture &amp; Fittings</t>
  </si>
  <si>
    <t>Engine Assembly Equipment</t>
  </si>
  <si>
    <t>Provision for Depreciation</t>
  </si>
  <si>
    <t>Investment</t>
  </si>
  <si>
    <t>Investment in Subsidiary - DMMS</t>
  </si>
  <si>
    <t>Investment in Subsidiary - DMME</t>
  </si>
  <si>
    <t>Investment in Subsidiary - DMMC</t>
  </si>
  <si>
    <t>Other Investment</t>
  </si>
  <si>
    <t>Investment in Subsidiary - MII</t>
  </si>
  <si>
    <t>TOTAL ASSETS</t>
  </si>
  <si>
    <t>LIABILITIES</t>
  </si>
  <si>
    <t>Bank Borrowings</t>
  </si>
  <si>
    <t>Trust Receipt</t>
  </si>
  <si>
    <t>Short Term Loan</t>
  </si>
  <si>
    <t>Bank Overdraft</t>
  </si>
  <si>
    <t>Bills Payable</t>
  </si>
  <si>
    <t>Accrued Expenses</t>
  </si>
  <si>
    <t>Accounts Payable Trade</t>
  </si>
  <si>
    <t>Prepaid Assembly Charges</t>
  </si>
  <si>
    <t>Other Creditors &amp; Accruals</t>
  </si>
  <si>
    <t>Accrued Interest</t>
  </si>
  <si>
    <t>Accrued Creditos</t>
  </si>
  <si>
    <t>Accrued Other Creditors</t>
  </si>
  <si>
    <t>Receive in Suspense</t>
  </si>
  <si>
    <t>Deposit Received</t>
  </si>
  <si>
    <t>Reserve for Japan Assistance</t>
  </si>
  <si>
    <t>Reserve for Exchange</t>
  </si>
  <si>
    <t>Provision For Disposal</t>
  </si>
  <si>
    <t>Amount Due to Subsidiaries</t>
  </si>
  <si>
    <t>Amount Due To Holdings Co</t>
  </si>
  <si>
    <t>Proposed Dividend</t>
  </si>
  <si>
    <t>Provision for Tax Payable</t>
  </si>
  <si>
    <t>Retirement Benefits</t>
  </si>
  <si>
    <t>Long Term Loan</t>
  </si>
  <si>
    <t>NET ASSETS</t>
  </si>
  <si>
    <t>SHAREHOLDERS FUNDS</t>
  </si>
  <si>
    <t>Paid up Capital</t>
  </si>
  <si>
    <t>Profit &amp; Loss</t>
  </si>
  <si>
    <t>Accrued Creditors</t>
  </si>
  <si>
    <t>HP Debtors</t>
  </si>
  <si>
    <t>Unearned Interest</t>
  </si>
  <si>
    <t>Due after 12 months</t>
  </si>
  <si>
    <t>MARCH'00</t>
  </si>
  <si>
    <t>FEB'00</t>
  </si>
  <si>
    <t>MAR'00</t>
  </si>
  <si>
    <t>MAR'99</t>
  </si>
  <si>
    <t>Consolidation entries for the period ended 31 March 2000</t>
  </si>
  <si>
    <t>Year 2000</t>
  </si>
  <si>
    <t>RM540,604 x 6 years (1994 to 1999)</t>
  </si>
  <si>
    <t>RM540,604/3</t>
  </si>
  <si>
    <t>Stock Write Back</t>
  </si>
  <si>
    <t>December'99</t>
  </si>
  <si>
    <t>Share of 1999 profits</t>
  </si>
  <si>
    <t>Share of 1999 tax</t>
  </si>
  <si>
    <t>Dividend received during the year</t>
  </si>
  <si>
    <t>Bal b/f</t>
  </si>
  <si>
    <t>Share of Mac'2000 profits</t>
  </si>
  <si>
    <t>Share of Mac'2000 tax</t>
  </si>
  <si>
    <t>RM500 x 3 years (1997-1999)</t>
  </si>
  <si>
    <t>Colonial Motor Company Limited (CMC)</t>
  </si>
  <si>
    <t>Translation rate</t>
  </si>
  <si>
    <t>Net assets @ 31.12.1998</t>
  </si>
  <si>
    <t>Jan to June 1999 profit</t>
  </si>
  <si>
    <t>Jan to June 1999 tax</t>
  </si>
  <si>
    <t>Net assets @ 30.6.1999</t>
  </si>
  <si>
    <t>July to Dec 1999 profit</t>
  </si>
  <si>
    <t>July to Dec 1999 tax</t>
  </si>
  <si>
    <t>Forex fluctuation</t>
  </si>
  <si>
    <t>Net assets @ 31.12.1999</t>
  </si>
  <si>
    <t>CMC's profit for the year 1999</t>
  </si>
  <si>
    <t>CMC's tax for the year 1999</t>
  </si>
  <si>
    <t>MBMR's share of profit at 24.9%</t>
  </si>
  <si>
    <t>MBMR's share of tax at 24.9%</t>
  </si>
  <si>
    <t>Recap: Share of post acqn profit in associate - CMC</t>
  </si>
  <si>
    <t>Share of post acqn profit as at 1.1.1999</t>
  </si>
  <si>
    <t>Share of post acqn profit as at 31.12.1999</t>
  </si>
  <si>
    <t>(Being elimination of dividend paid by CMC to Sun Motor)</t>
  </si>
  <si>
    <t>(Being elimination of interest income received by Auto Style  via dividend paid to ANZ)</t>
  </si>
  <si>
    <t>Share of Mac 2000 profits</t>
  </si>
  <si>
    <t>Share of Mac 2000 tax</t>
  </si>
  <si>
    <t>Share of post acqn profit as at 31.03.2000</t>
  </si>
  <si>
    <t>CMC's profit for the period Mac 2000</t>
  </si>
  <si>
    <t>CMC's tax for the period Mac 2000</t>
  </si>
  <si>
    <t>MBMR's share of profit at 24.9%( Mac 2000 )</t>
  </si>
  <si>
    <t>MBMR's share of tax at 24.9%( Mac 2000 )</t>
  </si>
  <si>
    <t>MAC</t>
  </si>
  <si>
    <t>(i) Basic (based on 75,000,000 ordinary shares) (RM)</t>
  </si>
  <si>
    <t>(ii) Fully diluted (based on 75,000,000 ordinary shares) (RM)</t>
  </si>
  <si>
    <t>MARCH</t>
  </si>
  <si>
    <t>31/03/2000</t>
  </si>
  <si>
    <t>(i) Basic (based on 75,000,000    ordinary shares) (RM)</t>
  </si>
  <si>
    <t>Dated : 26 th May 2000</t>
  </si>
  <si>
    <t xml:space="preserve">The quarterly financial statements have been prepared based on accounting policies and methods of computation consistent with those adopted in the 1999 Annual Report. </t>
  </si>
  <si>
    <t>Quarterly report on consolidated result for the financial period ended 31/03/2000.  The figures have not been audited.</t>
  </si>
  <si>
    <t>12 Months</t>
  </si>
  <si>
    <t>CONSOLIDATED PROFIT &amp; LOSS</t>
  </si>
  <si>
    <t>31 MARCH 2000</t>
  </si>
  <si>
    <t>1999</t>
  </si>
  <si>
    <t>MARCH '00</t>
  </si>
  <si>
    <t>FINANCIAL REVIEW : COMPARISON</t>
  </si>
  <si>
    <t>MBMR</t>
  </si>
  <si>
    <t>ASEL</t>
  </si>
  <si>
    <t>SML</t>
  </si>
  <si>
    <t>Ass. Co</t>
  </si>
  <si>
    <t>MBMI</t>
  </si>
  <si>
    <t>CMC</t>
  </si>
  <si>
    <t>4th Q'99</t>
  </si>
  <si>
    <t>1st Q'00</t>
  </si>
  <si>
    <t>Cons. Adj</t>
  </si>
  <si>
    <t xml:space="preserve">Turnover </t>
  </si>
  <si>
    <t>Profit before tax</t>
  </si>
  <si>
    <t>Diff</t>
  </si>
  <si>
    <t xml:space="preserve">               - MBM Industries S/B</t>
  </si>
  <si>
    <t xml:space="preserve">               - CMC Group</t>
  </si>
  <si>
    <t>Net tangible assets per share (RM)</t>
  </si>
  <si>
    <t>The company did not make any rights bonus or other issues of equity shares since the previous dividend was paid.</t>
  </si>
  <si>
    <t>A</t>
  </si>
  <si>
    <t>B</t>
  </si>
  <si>
    <t>D</t>
  </si>
  <si>
    <t>E</t>
  </si>
  <si>
    <t>A + B - C - E</t>
  </si>
  <si>
    <t>=</t>
  </si>
  <si>
    <t>Not Applicable</t>
  </si>
  <si>
    <t>The group's profit before taxation for the current quarter ending 31st March 2000 is RM 7.8 million as compared to the 4th quarter of 1999 of RM 5.86 million. The increase is mainly due to reduced cost.</t>
  </si>
  <si>
    <t xml:space="preserve">The improving business environment has enabled the group to maintain turnover with reduced cost  resulting with increased profit before tax of RM 7.87 million. The better business environment has resulted in the contracted assembly plant not being able to meet demand. There is still room for improvement for the commercial vehicles. </t>
  </si>
  <si>
    <t xml:space="preserve">Not Applicable </t>
  </si>
  <si>
    <t>Other Income / Interest Income</t>
  </si>
  <si>
    <t xml:space="preserve">FINANCIAL HIGHLIGHTS </t>
  </si>
  <si>
    <t>AS AT 31st MARCH 2000</t>
  </si>
  <si>
    <t xml:space="preserve">VEHICLES SALES </t>
  </si>
  <si>
    <t>DAIHATSU</t>
  </si>
  <si>
    <t>Espri</t>
  </si>
  <si>
    <t>Ascend</t>
  </si>
  <si>
    <t>PERODUA</t>
  </si>
  <si>
    <t>Kancil 660 EX</t>
  </si>
  <si>
    <t>Kancil 850 EX/GX</t>
  </si>
  <si>
    <t>Kancil 850 EZ</t>
  </si>
  <si>
    <t>Rusa</t>
  </si>
  <si>
    <t xml:space="preserve">Kembara  </t>
  </si>
  <si>
    <t>Period</t>
  </si>
  <si>
    <t>December '99</t>
  </si>
  <si>
    <t>Delta Lorry</t>
  </si>
  <si>
    <t>Hi-Jet Pick-up</t>
  </si>
  <si>
    <t>Feroza</t>
  </si>
  <si>
    <t>Gran Move</t>
  </si>
  <si>
    <t>TURNOVER</t>
  </si>
  <si>
    <t>PROFIT BEFORE TAX</t>
  </si>
  <si>
    <t>SHARE OF ASSOCIATED CO. PROFIT</t>
  </si>
  <si>
    <t>NET TANGIBLE ASSETS</t>
  </si>
  <si>
    <t>Units</t>
  </si>
  <si>
    <t>EARNINGS PER SHARE</t>
  </si>
  <si>
    <t>TAXATION</t>
  </si>
  <si>
    <t>PROFIT AFTER TAXATION</t>
  </si>
  <si>
    <t>RETAINED PROFIT ATTRIBUTABLE</t>
  </si>
  <si>
    <t>TO SHAREHOLDERS</t>
  </si>
  <si>
    <t xml:space="preserve">Yen </t>
  </si>
  <si>
    <t>29 May 2000 - 20 Jun 2000</t>
  </si>
  <si>
    <t xml:space="preserve">Sun Motors </t>
  </si>
  <si>
    <t>Jan - March '00</t>
  </si>
  <si>
    <t>********************</t>
  </si>
  <si>
    <t xml:space="preserve">                             Quarter</t>
  </si>
  <si>
    <t>At the date of this report, the Company or the Group do not have any contingent liability and none has arise since the end of the financial  year .</t>
  </si>
  <si>
    <t>In the circular to shareholders dated 29 February 2000, the company issue a forecast of consolidated profit after taxation of RM 17,236,000 before proposed acquisition of 20% of Perodua Sdn.Bhd and RM 32,488,000 after proposed acquisition for the year ending 31 December 2000.</t>
  </si>
  <si>
    <t>The company in its Extraordinary General Meeting held on 15 March 2000 has approved the acquisition of 28,000,000 ordinary shares of RM 1 each representing 20% equity interest in Perodua Sdn.Bhd from its holding company, Med Bumikar Mara Sdn.Bhd for a purchase consideration of RM 160,000,000 to be wholly satisfied by the issue of 64,000,000 new MBMR shares at an issue price of RM2.50 per share.</t>
  </si>
  <si>
    <t>Barring any unforeseen circumstances,the Group is confident of performing better in the current year in tandem with the improving Malaysian economy.</t>
  </si>
  <si>
    <t>Shahrizat Othman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</si>
</sst>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 #,##0_);_(* \(#,##0\);_(* &quot;-&quot;??_);_(@_)"/>
    <numFmt numFmtId="166" formatCode="_(* #,##0.0000_);_(* \(#,##0.0000\);_(* &quot;-&quot;??_);_(@_)"/>
    <numFmt numFmtId="167" formatCode="_(* #,##0.000_);_(* \(#,##0.000\);_(* &quot;-&quot;??_);_(@_)"/>
    <numFmt numFmtId="168" formatCode="#,##0.000_);\(#,##0.000\)"/>
    <numFmt numFmtId="169" formatCode="#,##0;[Red]\(#,##0\)"/>
    <numFmt numFmtId="170" formatCode="0.0000"/>
    <numFmt numFmtId="171" formatCode="#,##0;\(#,##0\)"/>
    <numFmt numFmtId="172" formatCode="0.0%"/>
    <numFmt numFmtId="173" formatCode="mmmm\-yy"/>
    <numFmt numFmtId="174" formatCode="_-* #,##0_-;\-* #,##0_-;_-* &quot;-&quot;??_-;_-@_-"/>
    <numFmt numFmtId="175" formatCode="0.0"/>
    <numFmt numFmtId="176" formatCode="#,##0.0000_);[Red]\(#,##0.0000\)"/>
    <numFmt numFmtId="177" formatCode="#,##0.0_);[Red]\(#,##0.0\)"/>
    <numFmt numFmtId="178" formatCode="#,##0.000_);[Red]\(#,##0.000\)"/>
    <numFmt numFmtId="179" formatCode="_(* #,##0.0_);_(* \(#,##0.0\);_(* &quot;-&quot;??_);_(@_)"/>
  </numFmts>
  <fonts count="23">
    <font>
      <sz val="10"/>
      <name val="Arial"/>
      <family val="0"/>
    </font>
    <font>
      <b/>
      <sz val="10"/>
      <name val="Arial"/>
      <family val="2"/>
    </font>
    <font>
      <i/>
      <sz val="10"/>
      <name val="Arial"/>
      <family val="2"/>
    </font>
    <font>
      <b/>
      <sz val="12"/>
      <name val="Arial"/>
      <family val="2"/>
    </font>
    <font>
      <sz val="11"/>
      <name val="Book Antiqua"/>
      <family val="1"/>
    </font>
    <font>
      <sz val="9"/>
      <name val="Arial"/>
      <family val="2"/>
    </font>
    <font>
      <b/>
      <sz val="11"/>
      <name val="Book Antiqua"/>
      <family val="0"/>
    </font>
    <font>
      <u val="single"/>
      <sz val="11"/>
      <name val="Book Antiqua"/>
      <family val="1"/>
    </font>
    <font>
      <b/>
      <i/>
      <sz val="11"/>
      <color indexed="10"/>
      <name val="Book Antiqua"/>
      <family val="1"/>
    </font>
    <font>
      <i/>
      <sz val="11"/>
      <name val="Book Antiqua"/>
      <family val="0"/>
    </font>
    <font>
      <b/>
      <u val="single"/>
      <sz val="11"/>
      <name val="Book Antiqua"/>
      <family val="1"/>
    </font>
    <font>
      <sz val="11"/>
      <color indexed="10"/>
      <name val="Book Antiqua"/>
      <family val="0"/>
    </font>
    <font>
      <b/>
      <i/>
      <sz val="10"/>
      <name val="Arial"/>
      <family val="2"/>
    </font>
    <font>
      <sz val="10"/>
      <color indexed="21"/>
      <name val="Arial"/>
      <family val="2"/>
    </font>
    <font>
      <sz val="10"/>
      <color indexed="10"/>
      <name val="Arial"/>
      <family val="2"/>
    </font>
    <font>
      <b/>
      <sz val="12"/>
      <name val="Book Antiqua"/>
      <family val="0"/>
    </font>
    <font>
      <sz val="12"/>
      <name val="Book Antiqua"/>
      <family val="0"/>
    </font>
    <font>
      <u val="single"/>
      <sz val="12"/>
      <name val="Book Antiqua"/>
      <family val="0"/>
    </font>
    <font>
      <i/>
      <sz val="12"/>
      <name val="Book Antiqua"/>
      <family val="0"/>
    </font>
    <font>
      <b/>
      <sz val="10"/>
      <color indexed="9"/>
      <name val="Arial"/>
      <family val="2"/>
    </font>
    <font>
      <b/>
      <i/>
      <sz val="12"/>
      <name val="Book Antiqua"/>
      <family val="0"/>
    </font>
    <font>
      <sz val="12"/>
      <name val="Arial"/>
      <family val="0"/>
    </font>
    <font>
      <b/>
      <sz val="14"/>
      <name val="Arial"/>
      <family val="2"/>
    </font>
  </fonts>
  <fills count="5">
    <fill>
      <patternFill/>
    </fill>
    <fill>
      <patternFill patternType="gray125"/>
    </fill>
    <fill>
      <patternFill patternType="solid">
        <fgColor indexed="46"/>
        <bgColor indexed="64"/>
      </patternFill>
    </fill>
    <fill>
      <patternFill patternType="solid">
        <fgColor indexed="22"/>
        <bgColor indexed="64"/>
      </patternFill>
    </fill>
    <fill>
      <patternFill patternType="solid">
        <fgColor indexed="13"/>
        <bgColor indexed="64"/>
      </patternFill>
    </fill>
  </fills>
  <borders count="2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double"/>
    </border>
    <border>
      <left>
        <color indexed="63"/>
      </left>
      <right style="thin"/>
      <top style="thin"/>
      <bottom style="double"/>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style="thin"/>
      <right>
        <color indexed="63"/>
      </right>
      <top>
        <color indexed="63"/>
      </top>
      <bottom style="double"/>
    </border>
    <border>
      <left>
        <color indexed="63"/>
      </left>
      <right>
        <color indexed="63"/>
      </right>
      <top style="thin"/>
      <bottom style="medium"/>
    </border>
    <border>
      <left style="thin"/>
      <right style="thin"/>
      <top>
        <color indexed="63"/>
      </top>
      <bottom style="double"/>
    </border>
    <border>
      <left style="thin"/>
      <right style="thin"/>
      <top style="thin"/>
      <bottom style="double"/>
    </border>
    <border>
      <left style="thin"/>
      <right>
        <color indexed="63"/>
      </right>
      <top style="thin"/>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1">
    <xf numFmtId="0" fontId="0" fillId="0" borderId="0" xfId="0" applyAlignment="1">
      <alignment/>
    </xf>
    <xf numFmtId="0" fontId="0" fillId="0" borderId="0" xfId="0" applyAlignment="1">
      <alignment wrapText="1"/>
    </xf>
    <xf numFmtId="0" fontId="0" fillId="0" borderId="0" xfId="0" applyAlignment="1">
      <alignment/>
    </xf>
    <xf numFmtId="0" fontId="1" fillId="0" borderId="0" xfId="0" applyFont="1" applyAlignment="1">
      <alignment horizontal="right" wrapText="1"/>
    </xf>
    <xf numFmtId="0" fontId="1" fillId="0" borderId="0" xfId="0" applyFont="1" applyAlignment="1">
      <alignment/>
    </xf>
    <xf numFmtId="0" fontId="1" fillId="0" borderId="0" xfId="0" applyFont="1" applyAlignment="1">
      <alignment wrapText="1"/>
    </xf>
    <xf numFmtId="0" fontId="0" fillId="0" borderId="1" xfId="0" applyBorder="1" applyAlignment="1">
      <alignment/>
    </xf>
    <xf numFmtId="37" fontId="0" fillId="0" borderId="0" xfId="0" applyNumberFormat="1" applyAlignment="1">
      <alignment/>
    </xf>
    <xf numFmtId="37" fontId="0" fillId="0" borderId="0" xfId="0" applyNumberFormat="1" applyAlignment="1">
      <alignment/>
    </xf>
    <xf numFmtId="37" fontId="0" fillId="0" borderId="0" xfId="0" applyNumberFormat="1" applyAlignment="1">
      <alignment horizontal="right"/>
    </xf>
    <xf numFmtId="39" fontId="0" fillId="0" borderId="0" xfId="0" applyNumberFormat="1" applyAlignment="1">
      <alignment/>
    </xf>
    <xf numFmtId="0" fontId="1" fillId="0" borderId="0" xfId="0" applyFont="1" applyAlignment="1">
      <alignment horizontal="right"/>
    </xf>
    <xf numFmtId="0" fontId="2" fillId="0" borderId="0" xfId="0" applyFont="1" applyAlignment="1">
      <alignment/>
    </xf>
    <xf numFmtId="0" fontId="3" fillId="0" borderId="0" xfId="0" applyFont="1" applyAlignment="1">
      <alignment/>
    </xf>
    <xf numFmtId="0" fontId="0" fillId="0" borderId="0" xfId="0" applyAlignment="1">
      <alignment vertical="top"/>
    </xf>
    <xf numFmtId="0" fontId="1" fillId="0" borderId="0" xfId="0" applyFont="1" applyAlignment="1">
      <alignment horizontal="center"/>
    </xf>
    <xf numFmtId="0" fontId="0" fillId="0" borderId="0" xfId="0" applyBorder="1" applyAlignment="1">
      <alignment/>
    </xf>
    <xf numFmtId="39" fontId="0" fillId="0" borderId="1" xfId="0" applyNumberFormat="1" applyBorder="1" applyAlignment="1">
      <alignment/>
    </xf>
    <xf numFmtId="0" fontId="0" fillId="0" borderId="0" xfId="0" applyAlignment="1">
      <alignment vertical="center"/>
    </xf>
    <xf numFmtId="39" fontId="0" fillId="0" borderId="0" xfId="0" applyNumberFormat="1" applyBorder="1" applyAlignment="1">
      <alignment/>
    </xf>
    <xf numFmtId="3" fontId="0" fillId="0" borderId="0" xfId="0" applyNumberFormat="1" applyBorder="1" applyAlignment="1">
      <alignment/>
    </xf>
    <xf numFmtId="0" fontId="0" fillId="0" borderId="0" xfId="0" applyBorder="1" applyAlignment="1">
      <alignment/>
    </xf>
    <xf numFmtId="0" fontId="1" fillId="0" borderId="0" xfId="0" applyFont="1" applyAlignment="1" quotePrefix="1">
      <alignment horizontal="right"/>
    </xf>
    <xf numFmtId="0" fontId="1" fillId="0" borderId="0" xfId="0" applyFont="1" applyBorder="1" applyAlignment="1">
      <alignment horizontal="right"/>
    </xf>
    <xf numFmtId="0" fontId="0" fillId="0" borderId="0" xfId="0" applyFont="1" applyAlignment="1" quotePrefix="1">
      <alignment horizontal="right"/>
    </xf>
    <xf numFmtId="0" fontId="0" fillId="0" borderId="0" xfId="0" applyFont="1" applyAlignment="1">
      <alignment horizontal="right"/>
    </xf>
    <xf numFmtId="0" fontId="0" fillId="0" borderId="0" xfId="0" applyFont="1" applyAlignment="1">
      <alignment/>
    </xf>
    <xf numFmtId="0" fontId="0" fillId="0" borderId="0" xfId="0" applyFont="1" applyBorder="1" applyAlignment="1">
      <alignment/>
    </xf>
    <xf numFmtId="0" fontId="0" fillId="0" borderId="0" xfId="0" applyAlignment="1">
      <alignment horizontal="center"/>
    </xf>
    <xf numFmtId="37" fontId="0" fillId="0" borderId="2" xfId="0" applyNumberFormat="1" applyBorder="1" applyAlignment="1">
      <alignment/>
    </xf>
    <xf numFmtId="37" fontId="0" fillId="0" borderId="0" xfId="0" applyNumberFormat="1" applyBorder="1" applyAlignment="1">
      <alignment/>
    </xf>
    <xf numFmtId="37" fontId="0" fillId="0" borderId="1" xfId="0" applyNumberFormat="1" applyBorder="1" applyAlignment="1">
      <alignment/>
    </xf>
    <xf numFmtId="37" fontId="1" fillId="0" borderId="0" xfId="0" applyNumberFormat="1" applyFont="1" applyAlignment="1">
      <alignment/>
    </xf>
    <xf numFmtId="37" fontId="1" fillId="0" borderId="2" xfId="0" applyNumberFormat="1" applyFont="1" applyBorder="1" applyAlignment="1">
      <alignment/>
    </xf>
    <xf numFmtId="168" fontId="0" fillId="0" borderId="0" xfId="0" applyNumberFormat="1" applyAlignment="1">
      <alignment horizontal="center"/>
    </xf>
    <xf numFmtId="0" fontId="4" fillId="0" borderId="0" xfId="0" applyFont="1" applyAlignment="1">
      <alignment/>
    </xf>
    <xf numFmtId="39" fontId="0" fillId="0" borderId="0" xfId="0" applyNumberFormat="1" applyAlignment="1">
      <alignment horizontal="right"/>
    </xf>
    <xf numFmtId="4" fontId="4" fillId="0" borderId="0" xfId="15" applyNumberFormat="1" applyFont="1" applyAlignment="1">
      <alignment/>
    </xf>
    <xf numFmtId="38" fontId="4" fillId="0" borderId="0" xfId="15" applyNumberFormat="1" applyFont="1" applyAlignment="1">
      <alignment/>
    </xf>
    <xf numFmtId="38" fontId="4" fillId="0" borderId="0" xfId="15" applyNumberFormat="1" applyFont="1" applyAlignment="1">
      <alignment horizontal="center"/>
    </xf>
    <xf numFmtId="41" fontId="0" fillId="0" borderId="0" xfId="0" applyNumberFormat="1" applyAlignment="1">
      <alignment/>
    </xf>
    <xf numFmtId="37" fontId="0" fillId="0" borderId="0" xfId="0" applyNumberFormat="1" applyAlignment="1">
      <alignment horizontal="center"/>
    </xf>
    <xf numFmtId="0" fontId="0" fillId="0" borderId="0" xfId="0" applyBorder="1" applyAlignment="1">
      <alignment wrapText="1"/>
    </xf>
    <xf numFmtId="16" fontId="0" fillId="0" borderId="0" xfId="0" applyNumberFormat="1" applyBorder="1" applyAlignment="1">
      <alignment/>
    </xf>
    <xf numFmtId="0" fontId="0" fillId="0" borderId="3" xfId="0" applyBorder="1" applyAlignment="1">
      <alignment/>
    </xf>
    <xf numFmtId="0" fontId="0" fillId="0" borderId="0" xfId="0" applyAlignment="1">
      <alignment horizontal="left" vertical="top" wrapText="1"/>
    </xf>
    <xf numFmtId="164" fontId="0" fillId="0" borderId="0" xfId="0" applyNumberFormat="1" applyBorder="1" applyAlignment="1">
      <alignment/>
    </xf>
    <xf numFmtId="164" fontId="0" fillId="0" borderId="0" xfId="0" applyNumberFormat="1" applyBorder="1" applyAlignment="1">
      <alignment/>
    </xf>
    <xf numFmtId="0" fontId="0" fillId="0" borderId="0" xfId="0" applyNumberFormat="1" applyBorder="1" applyAlignment="1">
      <alignment/>
    </xf>
    <xf numFmtId="0" fontId="0" fillId="0" borderId="0" xfId="0" applyAlignment="1">
      <alignment horizontal="right"/>
    </xf>
    <xf numFmtId="0" fontId="6" fillId="0" borderId="0" xfId="15" applyNumberFormat="1" applyFont="1" applyAlignment="1">
      <alignment/>
    </xf>
    <xf numFmtId="165" fontId="4" fillId="0" borderId="0" xfId="15" applyNumberFormat="1" applyFont="1" applyAlignment="1">
      <alignment horizontal="center"/>
    </xf>
    <xf numFmtId="165" fontId="4" fillId="0" borderId="0" xfId="15" applyNumberFormat="1" applyFont="1" applyAlignment="1">
      <alignment/>
    </xf>
    <xf numFmtId="166" fontId="4" fillId="0" borderId="0" xfId="15" applyNumberFormat="1" applyFont="1" applyBorder="1" applyAlignment="1">
      <alignment/>
    </xf>
    <xf numFmtId="165" fontId="0" fillId="0" borderId="0" xfId="15" applyNumberFormat="1" applyAlignment="1">
      <alignment/>
    </xf>
    <xf numFmtId="165" fontId="6" fillId="0" borderId="0" xfId="15" applyNumberFormat="1" applyFont="1" applyBorder="1" applyAlignment="1" quotePrefix="1">
      <alignment horizontal="right"/>
    </xf>
    <xf numFmtId="165" fontId="7" fillId="0" borderId="0" xfId="15" applyNumberFormat="1" applyFont="1" applyBorder="1" applyAlignment="1">
      <alignment horizontal="center"/>
    </xf>
    <xf numFmtId="165" fontId="7" fillId="0" borderId="0" xfId="15" applyNumberFormat="1" applyFont="1" applyBorder="1" applyAlignment="1">
      <alignment horizontal="right"/>
    </xf>
    <xf numFmtId="166" fontId="7" fillId="0" borderId="0" xfId="15" applyNumberFormat="1" applyFont="1" applyBorder="1" applyAlignment="1">
      <alignment horizontal="center"/>
    </xf>
    <xf numFmtId="165" fontId="7" fillId="0" borderId="0" xfId="15" applyNumberFormat="1" applyFont="1" applyBorder="1" applyAlignment="1" quotePrefix="1">
      <alignment horizontal="center"/>
    </xf>
    <xf numFmtId="165" fontId="7" fillId="0" borderId="4" xfId="15" applyNumberFormat="1" applyFont="1" applyBorder="1" applyAlignment="1">
      <alignment horizontal="center"/>
    </xf>
    <xf numFmtId="165" fontId="4" fillId="0" borderId="0" xfId="15" applyNumberFormat="1" applyFont="1" applyAlignment="1">
      <alignment horizontal="right"/>
    </xf>
    <xf numFmtId="165" fontId="0" fillId="0" borderId="0" xfId="15" applyNumberFormat="1" applyAlignment="1">
      <alignment horizontal="right"/>
    </xf>
    <xf numFmtId="165" fontId="6" fillId="0" borderId="0" xfId="15" applyNumberFormat="1" applyFont="1" applyBorder="1" applyAlignment="1">
      <alignment horizontal="right"/>
    </xf>
    <xf numFmtId="165" fontId="6" fillId="0" borderId="0" xfId="15" applyNumberFormat="1" applyFont="1" applyBorder="1" applyAlignment="1">
      <alignment horizontal="center"/>
    </xf>
    <xf numFmtId="165" fontId="4" fillId="0" borderId="0" xfId="15" applyNumberFormat="1" applyFont="1" applyBorder="1" applyAlignment="1">
      <alignment horizontal="right"/>
    </xf>
    <xf numFmtId="166" fontId="4" fillId="0" borderId="0" xfId="15" applyNumberFormat="1" applyFont="1" applyBorder="1" applyAlignment="1">
      <alignment horizontal="right"/>
    </xf>
    <xf numFmtId="165" fontId="4" fillId="0" borderId="4" xfId="15" applyNumberFormat="1" applyFont="1" applyBorder="1" applyAlignment="1">
      <alignment horizontal="right"/>
    </xf>
    <xf numFmtId="165" fontId="8" fillId="0" borderId="0" xfId="15" applyNumberFormat="1" applyFont="1" applyAlignment="1">
      <alignment horizontal="center"/>
    </xf>
    <xf numFmtId="165" fontId="9" fillId="0" borderId="0" xfId="15" applyNumberFormat="1" applyFont="1" applyAlignment="1">
      <alignment/>
    </xf>
    <xf numFmtId="165" fontId="9" fillId="0" borderId="0" xfId="15" applyNumberFormat="1" applyFont="1" applyBorder="1" applyAlignment="1">
      <alignment horizontal="right"/>
    </xf>
    <xf numFmtId="165" fontId="4" fillId="0" borderId="0" xfId="15" applyNumberFormat="1" applyFont="1" applyBorder="1" applyAlignment="1">
      <alignment horizontal="left"/>
    </xf>
    <xf numFmtId="165" fontId="4" fillId="0" borderId="0" xfId="15" applyNumberFormat="1" applyFont="1" applyBorder="1" applyAlignment="1">
      <alignment horizontal="center"/>
    </xf>
    <xf numFmtId="165" fontId="4" fillId="0" borderId="2" xfId="15" applyNumberFormat="1" applyFont="1" applyBorder="1" applyAlignment="1">
      <alignment horizontal="right"/>
    </xf>
    <xf numFmtId="165" fontId="4" fillId="0" borderId="2" xfId="15" applyNumberFormat="1" applyFont="1" applyBorder="1" applyAlignment="1">
      <alignment/>
    </xf>
    <xf numFmtId="165" fontId="4" fillId="0" borderId="0" xfId="15" applyNumberFormat="1" applyFont="1" applyBorder="1" applyAlignment="1">
      <alignment/>
    </xf>
    <xf numFmtId="165" fontId="4" fillId="0" borderId="1" xfId="15" applyNumberFormat="1" applyFont="1" applyBorder="1" applyAlignment="1">
      <alignment/>
    </xf>
    <xf numFmtId="165" fontId="4" fillId="0" borderId="5" xfId="15" applyNumberFormat="1" applyFont="1" applyBorder="1" applyAlignment="1">
      <alignment horizontal="right"/>
    </xf>
    <xf numFmtId="165" fontId="4" fillId="0" borderId="6" xfId="15" applyNumberFormat="1" applyFont="1" applyBorder="1" applyAlignment="1">
      <alignment horizontal="right"/>
    </xf>
    <xf numFmtId="165" fontId="4" fillId="0" borderId="5" xfId="15" applyNumberFormat="1" applyFont="1" applyBorder="1" applyAlignment="1">
      <alignment/>
    </xf>
    <xf numFmtId="165" fontId="4" fillId="0" borderId="4" xfId="15" applyNumberFormat="1" applyFont="1" applyBorder="1" applyAlignment="1">
      <alignment/>
    </xf>
    <xf numFmtId="165" fontId="4" fillId="0" borderId="1" xfId="15" applyNumberFormat="1" applyFont="1" applyBorder="1" applyAlignment="1">
      <alignment horizontal="right"/>
    </xf>
    <xf numFmtId="165" fontId="4" fillId="0" borderId="7" xfId="15" applyNumberFormat="1" applyFont="1" applyBorder="1" applyAlignment="1">
      <alignment horizontal="right"/>
    </xf>
    <xf numFmtId="165" fontId="4" fillId="0" borderId="0" xfId="15" applyNumberFormat="1" applyFont="1" applyFill="1" applyAlignment="1">
      <alignment/>
    </xf>
    <xf numFmtId="167" fontId="4" fillId="0" borderId="0" xfId="15" applyNumberFormat="1" applyFont="1" applyBorder="1" applyAlignment="1">
      <alignment horizontal="right"/>
    </xf>
    <xf numFmtId="165" fontId="4" fillId="0" borderId="8" xfId="15" applyNumberFormat="1" applyFont="1" applyBorder="1" applyAlignment="1">
      <alignment horizontal="right"/>
    </xf>
    <xf numFmtId="165" fontId="4" fillId="0" borderId="8" xfId="15" applyNumberFormat="1" applyFont="1" applyBorder="1" applyAlignment="1">
      <alignment/>
    </xf>
    <xf numFmtId="165" fontId="4" fillId="0" borderId="0" xfId="15" applyNumberFormat="1" applyFont="1" applyFill="1" applyBorder="1" applyAlignment="1">
      <alignment horizontal="right"/>
    </xf>
    <xf numFmtId="166" fontId="4" fillId="0" borderId="1" xfId="15" applyNumberFormat="1" applyFont="1" applyBorder="1" applyAlignment="1">
      <alignment/>
    </xf>
    <xf numFmtId="165" fontId="4" fillId="0" borderId="9" xfId="15" applyNumberFormat="1" applyFont="1" applyBorder="1" applyAlignment="1">
      <alignment/>
    </xf>
    <xf numFmtId="165" fontId="4" fillId="0" borderId="1" xfId="15" applyNumberFormat="1" applyFont="1" applyBorder="1" applyAlignment="1">
      <alignment horizontal="center"/>
    </xf>
    <xf numFmtId="166" fontId="4" fillId="0" borderId="1" xfId="15" applyNumberFormat="1" applyFont="1" applyBorder="1" applyAlignment="1">
      <alignment horizontal="right"/>
    </xf>
    <xf numFmtId="43" fontId="4" fillId="0" borderId="0" xfId="15" applyNumberFormat="1" applyFont="1" applyAlignment="1">
      <alignment/>
    </xf>
    <xf numFmtId="43" fontId="4" fillId="0" borderId="0" xfId="15" applyNumberFormat="1" applyFont="1" applyBorder="1" applyAlignment="1">
      <alignment/>
    </xf>
    <xf numFmtId="0" fontId="4" fillId="0" borderId="0" xfId="15" applyNumberFormat="1" applyFont="1" applyAlignment="1">
      <alignment/>
    </xf>
    <xf numFmtId="38" fontId="4" fillId="0" borderId="0" xfId="15" applyNumberFormat="1" applyFont="1" applyBorder="1" applyAlignment="1">
      <alignment/>
    </xf>
    <xf numFmtId="0" fontId="4" fillId="0" borderId="0" xfId="0" applyFont="1" applyFill="1" applyAlignment="1">
      <alignment/>
    </xf>
    <xf numFmtId="171" fontId="6" fillId="0" borderId="0" xfId="0" applyNumberFormat="1" applyFont="1" applyAlignment="1">
      <alignment/>
    </xf>
    <xf numFmtId="38" fontId="4" fillId="0" borderId="0" xfId="0" applyNumberFormat="1" applyFont="1" applyAlignment="1">
      <alignment/>
    </xf>
    <xf numFmtId="171" fontId="4" fillId="0" borderId="0" xfId="0" applyNumberFormat="1" applyFont="1" applyAlignment="1">
      <alignment/>
    </xf>
    <xf numFmtId="171" fontId="4" fillId="0" borderId="0" xfId="0" applyNumberFormat="1" applyFont="1" applyFill="1" applyAlignment="1">
      <alignment/>
    </xf>
    <xf numFmtId="171" fontId="7" fillId="0" borderId="0" xfId="0" applyNumberFormat="1" applyFont="1" applyFill="1" applyAlignment="1">
      <alignment/>
    </xf>
    <xf numFmtId="171" fontId="10" fillId="0" borderId="0" xfId="0" applyNumberFormat="1" applyFont="1" applyAlignment="1">
      <alignment/>
    </xf>
    <xf numFmtId="171" fontId="7" fillId="0" borderId="0" xfId="0" applyNumberFormat="1" applyFont="1" applyAlignment="1">
      <alignment/>
    </xf>
    <xf numFmtId="171" fontId="7" fillId="0" borderId="0" xfId="0" applyNumberFormat="1" applyFont="1" applyFill="1" applyAlignment="1">
      <alignment/>
    </xf>
    <xf numFmtId="171" fontId="7" fillId="0" borderId="0" xfId="0" applyNumberFormat="1" applyFont="1" applyAlignment="1">
      <alignment/>
    </xf>
    <xf numFmtId="38" fontId="7" fillId="0" borderId="0" xfId="0" applyNumberFormat="1" applyFont="1" applyAlignment="1">
      <alignment horizontal="center"/>
    </xf>
    <xf numFmtId="171" fontId="7" fillId="0" borderId="0" xfId="0" applyNumberFormat="1" applyFont="1" applyAlignment="1">
      <alignment horizontal="center"/>
    </xf>
    <xf numFmtId="172" fontId="7" fillId="0" borderId="0" xfId="0" applyNumberFormat="1" applyFont="1" applyAlignment="1">
      <alignment horizontal="center"/>
    </xf>
    <xf numFmtId="38" fontId="4" fillId="0" borderId="0" xfId="0" applyNumberFormat="1" applyFont="1" applyFill="1" applyAlignment="1">
      <alignment/>
    </xf>
    <xf numFmtId="38" fontId="4" fillId="0" borderId="1" xfId="0" applyNumberFormat="1" applyFont="1" applyFill="1" applyBorder="1" applyAlignment="1">
      <alignment/>
    </xf>
    <xf numFmtId="43" fontId="4" fillId="0" borderId="0" xfId="15" applyFont="1" applyFill="1" applyAlignment="1">
      <alignment/>
    </xf>
    <xf numFmtId="38" fontId="4" fillId="0" borderId="0" xfId="0" applyNumberFormat="1" applyFont="1" applyFill="1" applyBorder="1" applyAlignment="1">
      <alignment/>
    </xf>
    <xf numFmtId="38" fontId="4" fillId="0" borderId="5" xfId="0" applyNumberFormat="1" applyFont="1" applyFill="1" applyBorder="1" applyAlignment="1">
      <alignment/>
    </xf>
    <xf numFmtId="38" fontId="4" fillId="0" borderId="0" xfId="0" applyNumberFormat="1" applyFont="1" applyFill="1" applyAlignment="1">
      <alignment horizontal="center"/>
    </xf>
    <xf numFmtId="38" fontId="4" fillId="0" borderId="9" xfId="0" applyNumberFormat="1" applyFont="1" applyFill="1" applyBorder="1" applyAlignment="1">
      <alignment/>
    </xf>
    <xf numFmtId="38" fontId="7" fillId="0" borderId="0" xfId="0" applyNumberFormat="1" applyFont="1" applyAlignment="1">
      <alignment/>
    </xf>
    <xf numFmtId="171" fontId="7" fillId="0" borderId="0" xfId="0" applyNumberFormat="1" applyFont="1" applyFill="1" applyAlignment="1">
      <alignment horizontal="center"/>
    </xf>
    <xf numFmtId="171" fontId="8" fillId="2" borderId="0" xfId="0" applyNumberFormat="1" applyFont="1" applyFill="1" applyAlignment="1">
      <alignment horizontal="center"/>
    </xf>
    <xf numFmtId="171" fontId="8" fillId="0" borderId="0" xfId="0" applyNumberFormat="1" applyFont="1" applyFill="1" applyAlignment="1">
      <alignment horizontal="center"/>
    </xf>
    <xf numFmtId="171" fontId="4" fillId="0" borderId="0" xfId="0" applyNumberFormat="1" applyFont="1" applyAlignment="1">
      <alignment/>
    </xf>
    <xf numFmtId="38" fontId="4" fillId="0" borderId="8" xfId="0" applyNumberFormat="1" applyFont="1" applyBorder="1" applyAlignment="1">
      <alignment/>
    </xf>
    <xf numFmtId="0" fontId="4" fillId="0" borderId="0" xfId="0" applyFont="1" applyAlignment="1">
      <alignment horizontal="justify"/>
    </xf>
    <xf numFmtId="38" fontId="4" fillId="0" borderId="0" xfId="0" applyNumberFormat="1" applyFont="1" applyBorder="1" applyAlignment="1">
      <alignment/>
    </xf>
    <xf numFmtId="38" fontId="8" fillId="0" borderId="0" xfId="0" applyNumberFormat="1" applyFont="1" applyAlignment="1">
      <alignment/>
    </xf>
    <xf numFmtId="38" fontId="4" fillId="0" borderId="1" xfId="0" applyNumberFormat="1" applyFont="1" applyBorder="1" applyAlignment="1">
      <alignment/>
    </xf>
    <xf numFmtId="38" fontId="4" fillId="0" borderId="5" xfId="0" applyNumberFormat="1" applyFont="1" applyBorder="1" applyAlignment="1">
      <alignment/>
    </xf>
    <xf numFmtId="0" fontId="8" fillId="2" borderId="0" xfId="0" applyFont="1" applyFill="1" applyAlignment="1">
      <alignment horizontal="center"/>
    </xf>
    <xf numFmtId="0" fontId="8" fillId="0" borderId="0" xfId="0" applyFont="1" applyFill="1" applyAlignment="1">
      <alignment horizontal="center"/>
    </xf>
    <xf numFmtId="0" fontId="8" fillId="0" borderId="0" xfId="0" applyFont="1" applyAlignment="1">
      <alignment horizontal="center"/>
    </xf>
    <xf numFmtId="38" fontId="4" fillId="0" borderId="9" xfId="0" applyNumberFormat="1" applyFont="1" applyBorder="1" applyAlignment="1">
      <alignment/>
    </xf>
    <xf numFmtId="38" fontId="8" fillId="0" borderId="0" xfId="0" applyNumberFormat="1" applyFont="1" applyAlignment="1">
      <alignment horizontal="center"/>
    </xf>
    <xf numFmtId="0" fontId="4" fillId="0" borderId="0" xfId="0" applyFont="1" applyAlignment="1">
      <alignment/>
    </xf>
    <xf numFmtId="38" fontId="4" fillId="0" borderId="2" xfId="0" applyNumberFormat="1" applyFont="1" applyBorder="1" applyAlignment="1">
      <alignment/>
    </xf>
    <xf numFmtId="43" fontId="4" fillId="0" borderId="0" xfId="15" applyFont="1" applyAlignment="1">
      <alignment/>
    </xf>
    <xf numFmtId="0" fontId="11" fillId="0" borderId="0" xfId="0" applyFont="1" applyAlignment="1">
      <alignment horizontal="center"/>
    </xf>
    <xf numFmtId="0" fontId="10" fillId="0" borderId="0" xfId="0" applyFont="1" applyAlignment="1">
      <alignment/>
    </xf>
    <xf numFmtId="0" fontId="7" fillId="0" borderId="0" xfId="0" applyFont="1" applyAlignment="1">
      <alignment/>
    </xf>
    <xf numFmtId="171" fontId="8" fillId="0" borderId="0" xfId="0" applyNumberFormat="1" applyFont="1" applyAlignment="1">
      <alignment horizontal="center"/>
    </xf>
    <xf numFmtId="38" fontId="4" fillId="0" borderId="0" xfId="0" applyNumberFormat="1" applyFont="1" applyAlignment="1">
      <alignment horizontal="center"/>
    </xf>
    <xf numFmtId="38" fontId="7" fillId="0" borderId="0" xfId="0" applyNumberFormat="1" applyFont="1" applyBorder="1" applyAlignment="1">
      <alignment horizontal="center"/>
    </xf>
    <xf numFmtId="38" fontId="4" fillId="0" borderId="0" xfId="0" applyNumberFormat="1" applyFont="1" applyBorder="1" applyAlignment="1">
      <alignment horizontal="center"/>
    </xf>
    <xf numFmtId="0" fontId="4" fillId="0" borderId="0" xfId="0" applyFont="1" applyAlignment="1" quotePrefix="1">
      <alignment/>
    </xf>
    <xf numFmtId="171" fontId="4" fillId="0" borderId="0" xfId="0" applyNumberFormat="1" applyFont="1" applyAlignment="1">
      <alignment horizontal="center"/>
    </xf>
    <xf numFmtId="171" fontId="4" fillId="0" borderId="0" xfId="0" applyNumberFormat="1" applyFont="1" applyBorder="1" applyAlignment="1">
      <alignment/>
    </xf>
    <xf numFmtId="171" fontId="4" fillId="0" borderId="0" xfId="0" applyNumberFormat="1" applyFont="1" applyAlignment="1" quotePrefix="1">
      <alignment/>
    </xf>
    <xf numFmtId="0" fontId="1" fillId="0" borderId="0" xfId="0" applyFont="1" applyAlignment="1">
      <alignment horizontal="left"/>
    </xf>
    <xf numFmtId="0" fontId="12" fillId="0" borderId="1" xfId="0" applyFont="1" applyBorder="1" applyAlignment="1">
      <alignment horizontal="left"/>
    </xf>
    <xf numFmtId="0" fontId="12" fillId="0" borderId="10" xfId="0" applyFont="1" applyBorder="1" applyAlignment="1">
      <alignment horizontal="left"/>
    </xf>
    <xf numFmtId="0" fontId="1" fillId="0" borderId="11" xfId="0" applyFont="1" applyBorder="1" applyAlignment="1">
      <alignment horizontal="center"/>
    </xf>
    <xf numFmtId="0" fontId="12" fillId="0" borderId="12" xfId="0" applyFont="1" applyBorder="1" applyAlignment="1">
      <alignment horizontal="left"/>
    </xf>
    <xf numFmtId="0" fontId="1" fillId="0" borderId="13" xfId="0" applyFont="1" applyBorder="1" applyAlignment="1">
      <alignment horizontal="center"/>
    </xf>
    <xf numFmtId="0" fontId="0" fillId="0" borderId="12" xfId="0" applyBorder="1" applyAlignment="1">
      <alignment/>
    </xf>
    <xf numFmtId="0" fontId="0" fillId="0" borderId="14" xfId="0" applyBorder="1" applyAlignment="1">
      <alignment/>
    </xf>
    <xf numFmtId="165" fontId="0" fillId="0" borderId="12" xfId="15" applyNumberFormat="1" applyBorder="1" applyAlignment="1">
      <alignment/>
    </xf>
    <xf numFmtId="165" fontId="0" fillId="0" borderId="14" xfId="15" applyNumberFormat="1" applyBorder="1" applyAlignment="1">
      <alignment/>
    </xf>
    <xf numFmtId="165" fontId="0" fillId="0" borderId="15" xfId="15" applyNumberFormat="1" applyBorder="1" applyAlignment="1">
      <alignment/>
    </xf>
    <xf numFmtId="165" fontId="0" fillId="0" borderId="13" xfId="15" applyNumberFormat="1" applyBorder="1" applyAlignment="1">
      <alignment/>
    </xf>
    <xf numFmtId="0" fontId="0" fillId="0" borderId="12" xfId="0" applyBorder="1" applyAlignment="1" quotePrefix="1">
      <alignment horizontal="left"/>
    </xf>
    <xf numFmtId="0" fontId="0" fillId="0" borderId="15" xfId="0" applyBorder="1" applyAlignment="1">
      <alignment/>
    </xf>
    <xf numFmtId="0" fontId="1" fillId="0" borderId="11" xfId="0" applyFont="1" applyBorder="1" applyAlignment="1">
      <alignment horizontal="center"/>
    </xf>
    <xf numFmtId="165" fontId="1" fillId="0" borderId="13" xfId="15" applyNumberFormat="1" applyFont="1" applyBorder="1" applyAlignment="1">
      <alignment horizontal="center"/>
    </xf>
    <xf numFmtId="0" fontId="0" fillId="0" borderId="13" xfId="0" applyBorder="1" applyAlignment="1">
      <alignment/>
    </xf>
    <xf numFmtId="165" fontId="1" fillId="0" borderId="13" xfId="15" applyNumberFormat="1" applyFont="1" applyBorder="1" applyAlignment="1" quotePrefix="1">
      <alignment horizontal="center"/>
    </xf>
    <xf numFmtId="0" fontId="0" fillId="0" borderId="12" xfId="0" applyBorder="1" applyAlignment="1">
      <alignment horizontal="left"/>
    </xf>
    <xf numFmtId="0" fontId="0" fillId="0" borderId="10" xfId="0" applyBorder="1" applyAlignment="1">
      <alignment/>
    </xf>
    <xf numFmtId="0" fontId="1" fillId="0" borderId="14" xfId="0" applyFont="1" applyBorder="1" applyAlignment="1">
      <alignment horizontal="center"/>
    </xf>
    <xf numFmtId="165" fontId="1" fillId="0" borderId="14" xfId="15" applyNumberFormat="1" applyFont="1" applyBorder="1" applyAlignment="1">
      <alignment horizontal="center"/>
    </xf>
    <xf numFmtId="165" fontId="1" fillId="0" borderId="12" xfId="15" applyNumberFormat="1" applyFont="1" applyBorder="1" applyAlignment="1">
      <alignment horizontal="center"/>
    </xf>
    <xf numFmtId="0" fontId="0" fillId="0" borderId="11" xfId="0" applyFont="1" applyBorder="1" applyAlignment="1">
      <alignment horizontal="center"/>
    </xf>
    <xf numFmtId="174" fontId="0" fillId="0" borderId="14" xfId="15" applyNumberFormat="1" applyBorder="1" applyAlignment="1">
      <alignment/>
    </xf>
    <xf numFmtId="0" fontId="0" fillId="0" borderId="16" xfId="0" applyBorder="1" applyAlignment="1">
      <alignment/>
    </xf>
    <xf numFmtId="0" fontId="1" fillId="0" borderId="0" xfId="0" applyNumberFormat="1" applyFont="1" applyAlignment="1" quotePrefix="1">
      <alignment horizontal="left"/>
    </xf>
    <xf numFmtId="0" fontId="12" fillId="0" borderId="11" xfId="0" applyFont="1" applyBorder="1" applyAlignment="1">
      <alignment horizontal="left"/>
    </xf>
    <xf numFmtId="0" fontId="12" fillId="0" borderId="14" xfId="0" applyFont="1" applyBorder="1" applyAlignment="1">
      <alignment horizontal="left"/>
    </xf>
    <xf numFmtId="165" fontId="0" fillId="0" borderId="12" xfId="15" applyNumberFormat="1" applyBorder="1" applyAlignment="1">
      <alignment/>
    </xf>
    <xf numFmtId="165" fontId="0" fillId="0" borderId="14" xfId="15" applyNumberFormat="1" applyBorder="1" applyAlignment="1">
      <alignment/>
    </xf>
    <xf numFmtId="165" fontId="0" fillId="0" borderId="12" xfId="0" applyNumberFormat="1" applyBorder="1" applyAlignment="1">
      <alignment/>
    </xf>
    <xf numFmtId="43" fontId="0" fillId="0" borderId="13" xfId="15" applyBorder="1" applyAlignment="1">
      <alignment/>
    </xf>
    <xf numFmtId="165" fontId="0" fillId="0" borderId="15" xfId="15" applyNumberFormat="1" applyBorder="1" applyAlignment="1">
      <alignment/>
    </xf>
    <xf numFmtId="165" fontId="0" fillId="0" borderId="13" xfId="15" applyNumberFormat="1" applyFont="1" applyBorder="1" applyAlignment="1">
      <alignment/>
    </xf>
    <xf numFmtId="165" fontId="0" fillId="0" borderId="12" xfId="0" applyNumberFormat="1" applyBorder="1" applyAlignment="1" quotePrefix="1">
      <alignment horizontal="left"/>
    </xf>
    <xf numFmtId="165" fontId="0" fillId="0" borderId="13" xfId="15" applyNumberFormat="1" applyBorder="1" applyAlignment="1">
      <alignment/>
    </xf>
    <xf numFmtId="165" fontId="0" fillId="0" borderId="17" xfId="15" applyNumberFormat="1" applyBorder="1" applyAlignment="1">
      <alignment/>
    </xf>
    <xf numFmtId="165" fontId="0" fillId="0" borderId="16" xfId="15" applyNumberFormat="1" applyBorder="1" applyAlignment="1">
      <alignment/>
    </xf>
    <xf numFmtId="0" fontId="1" fillId="0" borderId="0" xfId="0" applyFont="1" applyAlignment="1" quotePrefix="1">
      <alignment horizontal="left"/>
    </xf>
    <xf numFmtId="165" fontId="0" fillId="0" borderId="0" xfId="15" applyNumberFormat="1" applyBorder="1" applyAlignment="1">
      <alignment/>
    </xf>
    <xf numFmtId="165" fontId="0" fillId="0" borderId="1" xfId="15" applyNumberFormat="1" applyBorder="1" applyAlignment="1">
      <alignment/>
    </xf>
    <xf numFmtId="0" fontId="1" fillId="0" borderId="10" xfId="0" applyFont="1" applyBorder="1" applyAlignment="1">
      <alignment horizontal="center"/>
    </xf>
    <xf numFmtId="165" fontId="0" fillId="0" borderId="12" xfId="15" applyNumberFormat="1" applyBorder="1" applyAlignment="1">
      <alignment horizontal="center"/>
    </xf>
    <xf numFmtId="165" fontId="0" fillId="0" borderId="14" xfId="15" applyNumberFormat="1" applyBorder="1" applyAlignment="1">
      <alignment horizontal="center"/>
    </xf>
    <xf numFmtId="165" fontId="0" fillId="0" borderId="13" xfId="15" applyNumberFormat="1" applyBorder="1" applyAlignment="1">
      <alignment horizontal="center"/>
    </xf>
    <xf numFmtId="165" fontId="0" fillId="0" borderId="16" xfId="15" applyNumberFormat="1" applyBorder="1" applyAlignment="1">
      <alignment horizontal="center"/>
    </xf>
    <xf numFmtId="0" fontId="0" fillId="0" borderId="15" xfId="0" applyBorder="1" applyAlignment="1" quotePrefix="1">
      <alignment horizontal="left"/>
    </xf>
    <xf numFmtId="165" fontId="0" fillId="0" borderId="0" xfId="0" applyNumberFormat="1" applyBorder="1" applyAlignment="1">
      <alignment/>
    </xf>
    <xf numFmtId="165" fontId="0" fillId="0" borderId="0" xfId="15" applyNumberFormat="1" applyAlignment="1">
      <alignment/>
    </xf>
    <xf numFmtId="0" fontId="4" fillId="0" borderId="0" xfId="0" applyFont="1" applyAlignment="1">
      <alignment horizontal="center"/>
    </xf>
    <xf numFmtId="169" fontId="6" fillId="0" borderId="0" xfId="0" applyNumberFormat="1" applyFont="1" applyBorder="1" applyAlignment="1">
      <alignment horizontal="right"/>
    </xf>
    <xf numFmtId="169" fontId="6" fillId="0" borderId="0" xfId="0" applyNumberFormat="1" applyFont="1" applyBorder="1" applyAlignment="1">
      <alignment horizontal="center"/>
    </xf>
    <xf numFmtId="165" fontId="4" fillId="0" borderId="0" xfId="15" applyNumberFormat="1" applyFont="1" applyAlignment="1" quotePrefix="1">
      <alignment horizontal="right"/>
    </xf>
    <xf numFmtId="0" fontId="4" fillId="0" borderId="0" xfId="0" applyFont="1" applyAlignment="1">
      <alignment horizontal="right"/>
    </xf>
    <xf numFmtId="169" fontId="6" fillId="0" borderId="0" xfId="0" applyNumberFormat="1" applyFont="1" applyBorder="1" applyAlignment="1" quotePrefix="1">
      <alignment horizontal="right"/>
    </xf>
    <xf numFmtId="169" fontId="7" fillId="0" borderId="0" xfId="0" applyNumberFormat="1" applyFont="1" applyBorder="1" applyAlignment="1">
      <alignment horizontal="center"/>
    </xf>
    <xf numFmtId="165" fontId="7" fillId="0" borderId="0" xfId="15" applyNumberFormat="1" applyFont="1" applyBorder="1" applyAlignment="1" quotePrefix="1">
      <alignment horizontal="right"/>
    </xf>
    <xf numFmtId="165" fontId="7" fillId="0" borderId="0" xfId="15" applyNumberFormat="1" applyFont="1" applyFill="1" applyBorder="1" applyAlignment="1" quotePrefix="1">
      <alignment horizontal="right"/>
    </xf>
    <xf numFmtId="169" fontId="4" fillId="0" borderId="0" xfId="0" applyNumberFormat="1" applyFont="1" applyBorder="1" applyAlignment="1">
      <alignment horizontal="left"/>
    </xf>
    <xf numFmtId="169" fontId="4" fillId="0" borderId="0" xfId="0" applyNumberFormat="1" applyFont="1" applyBorder="1" applyAlignment="1">
      <alignment horizontal="center"/>
    </xf>
    <xf numFmtId="165" fontId="4" fillId="0" borderId="2" xfId="15" applyNumberFormat="1" applyFont="1" applyFill="1" applyBorder="1" applyAlignment="1">
      <alignment horizontal="right"/>
    </xf>
    <xf numFmtId="169" fontId="4" fillId="0" borderId="0" xfId="0" applyNumberFormat="1" applyFont="1" applyBorder="1" applyAlignment="1" quotePrefix="1">
      <alignment horizontal="left"/>
    </xf>
    <xf numFmtId="169" fontId="4" fillId="0" borderId="0" xfId="0" applyNumberFormat="1" applyFont="1" applyBorder="1" applyAlignment="1" quotePrefix="1">
      <alignment horizontal="center"/>
    </xf>
    <xf numFmtId="165" fontId="4" fillId="0" borderId="1" xfId="15" applyNumberFormat="1" applyFont="1" applyFill="1" applyBorder="1" applyAlignment="1">
      <alignment horizontal="right"/>
    </xf>
    <xf numFmtId="165" fontId="4" fillId="0" borderId="5" xfId="15" applyNumberFormat="1" applyFont="1" applyFill="1" applyBorder="1" applyAlignment="1">
      <alignment horizontal="right"/>
    </xf>
    <xf numFmtId="41" fontId="4" fillId="0" borderId="0" xfId="0" applyNumberFormat="1" applyFont="1" applyAlignment="1">
      <alignment/>
    </xf>
    <xf numFmtId="41" fontId="4" fillId="0" borderId="0" xfId="0" applyNumberFormat="1" applyFont="1" applyAlignment="1">
      <alignment horizontal="center"/>
    </xf>
    <xf numFmtId="41" fontId="6" fillId="0" borderId="0" xfId="0" applyNumberFormat="1" applyFont="1" applyBorder="1" applyAlignment="1">
      <alignment horizontal="left"/>
    </xf>
    <xf numFmtId="41" fontId="6" fillId="0" borderId="0" xfId="0" applyNumberFormat="1" applyFont="1" applyBorder="1" applyAlignment="1">
      <alignment horizontal="center"/>
    </xf>
    <xf numFmtId="41" fontId="4" fillId="0" borderId="0" xfId="0" applyNumberFormat="1" applyFont="1" applyBorder="1" applyAlignment="1" quotePrefix="1">
      <alignment horizontal="right"/>
    </xf>
    <xf numFmtId="41" fontId="4" fillId="0" borderId="0" xfId="15" applyNumberFormat="1" applyFont="1" applyBorder="1" applyAlignment="1">
      <alignment horizontal="right"/>
    </xf>
    <xf numFmtId="41" fontId="6" fillId="0" borderId="0" xfId="0" applyNumberFormat="1" applyFont="1" applyBorder="1" applyAlignment="1" quotePrefix="1">
      <alignment horizontal="right"/>
    </xf>
    <xf numFmtId="41" fontId="7" fillId="0" borderId="0" xfId="0" applyNumberFormat="1" applyFont="1" applyBorder="1" applyAlignment="1">
      <alignment horizontal="center"/>
    </xf>
    <xf numFmtId="41" fontId="7" fillId="0" borderId="0" xfId="15" applyNumberFormat="1" applyFont="1" applyBorder="1" applyAlignment="1">
      <alignment horizontal="right"/>
    </xf>
    <xf numFmtId="41" fontId="7" fillId="0" borderId="0" xfId="15" applyNumberFormat="1" applyFont="1" applyBorder="1" applyAlignment="1" quotePrefix="1">
      <alignment horizontal="right"/>
    </xf>
    <xf numFmtId="41" fontId="4" fillId="0" borderId="0" xfId="0" applyNumberFormat="1" applyFont="1" applyAlignment="1">
      <alignment horizontal="right"/>
    </xf>
    <xf numFmtId="41" fontId="0" fillId="0" borderId="0" xfId="0" applyNumberFormat="1" applyAlignment="1">
      <alignment horizontal="right"/>
    </xf>
    <xf numFmtId="41" fontId="6" fillId="0" borderId="0" xfId="0" applyNumberFormat="1" applyFont="1" applyBorder="1" applyAlignment="1">
      <alignment horizontal="right"/>
    </xf>
    <xf numFmtId="41" fontId="4" fillId="0" borderId="0" xfId="15" applyNumberFormat="1" applyFont="1" applyBorder="1" applyAlignment="1">
      <alignment horizontal="center"/>
    </xf>
    <xf numFmtId="41" fontId="4" fillId="0" borderId="0" xfId="0" applyNumberFormat="1" applyFont="1" applyBorder="1" applyAlignment="1">
      <alignment horizontal="left"/>
    </xf>
    <xf numFmtId="41" fontId="4" fillId="0" borderId="0" xfId="0" applyNumberFormat="1" applyFont="1" applyBorder="1" applyAlignment="1">
      <alignment horizontal="center"/>
    </xf>
    <xf numFmtId="41" fontId="4" fillId="0" borderId="0" xfId="0" applyNumberFormat="1" applyFont="1" applyBorder="1" applyAlignment="1">
      <alignment horizontal="right"/>
    </xf>
    <xf numFmtId="41" fontId="4" fillId="0" borderId="0" xfId="0" applyNumberFormat="1" applyFont="1" applyAlignment="1">
      <alignment horizontal="left"/>
    </xf>
    <xf numFmtId="41" fontId="4" fillId="0" borderId="0" xfId="15" applyNumberFormat="1" applyFont="1" applyFill="1" applyBorder="1" applyAlignment="1">
      <alignment horizontal="right"/>
    </xf>
    <xf numFmtId="41" fontId="4" fillId="0" borderId="0" xfId="0" applyNumberFormat="1" applyFont="1" applyBorder="1" applyAlignment="1" quotePrefix="1">
      <alignment horizontal="left"/>
    </xf>
    <xf numFmtId="41" fontId="4" fillId="0" borderId="0" xfId="0" applyNumberFormat="1" applyFont="1" applyBorder="1" applyAlignment="1" quotePrefix="1">
      <alignment horizontal="center"/>
    </xf>
    <xf numFmtId="41" fontId="4" fillId="0" borderId="8" xfId="15" applyNumberFormat="1" applyFont="1" applyBorder="1" applyAlignment="1">
      <alignment horizontal="right"/>
    </xf>
    <xf numFmtId="41" fontId="4" fillId="0" borderId="5" xfId="15" applyNumberFormat="1" applyFont="1" applyBorder="1" applyAlignment="1">
      <alignment horizontal="right"/>
    </xf>
    <xf numFmtId="41" fontId="4" fillId="0" borderId="0" xfId="15" applyNumberFormat="1" applyFont="1" applyAlignment="1">
      <alignment horizontal="right"/>
    </xf>
    <xf numFmtId="41" fontId="4" fillId="0" borderId="1" xfId="15" applyNumberFormat="1" applyFont="1" applyBorder="1" applyAlignment="1">
      <alignment horizontal="right"/>
    </xf>
    <xf numFmtId="41" fontId="4" fillId="0" borderId="0" xfId="0" applyNumberFormat="1" applyFont="1" applyBorder="1" applyAlignment="1">
      <alignment/>
    </xf>
    <xf numFmtId="41" fontId="7" fillId="0" borderId="0" xfId="0" applyNumberFormat="1" applyFont="1" applyBorder="1" applyAlignment="1">
      <alignment/>
    </xf>
    <xf numFmtId="165" fontId="0" fillId="0" borderId="12" xfId="0" applyNumberFormat="1" applyFont="1" applyFill="1" applyBorder="1" applyAlignment="1">
      <alignment/>
    </xf>
    <xf numFmtId="0" fontId="0" fillId="0" borderId="0" xfId="0" applyAlignment="1" quotePrefix="1">
      <alignment/>
    </xf>
    <xf numFmtId="165" fontId="9" fillId="0" borderId="18" xfId="15" applyNumberFormat="1" applyFont="1" applyBorder="1" applyAlignment="1">
      <alignment/>
    </xf>
    <xf numFmtId="39" fontId="0" fillId="0" borderId="3" xfId="0" applyNumberFormat="1" applyFont="1" applyBorder="1" applyAlignment="1">
      <alignment/>
    </xf>
    <xf numFmtId="39" fontId="0" fillId="0" borderId="4" xfId="0" applyNumberFormat="1" applyFont="1" applyBorder="1" applyAlignment="1">
      <alignment/>
    </xf>
    <xf numFmtId="39" fontId="0" fillId="0" borderId="7" xfId="0" applyNumberFormat="1" applyFont="1" applyBorder="1" applyAlignment="1">
      <alignment/>
    </xf>
    <xf numFmtId="39" fontId="0" fillId="0" borderId="0" xfId="0" applyNumberFormat="1" applyFont="1" applyBorder="1" applyAlignment="1">
      <alignment/>
    </xf>
    <xf numFmtId="0" fontId="1" fillId="0" borderId="0" xfId="0" applyFont="1" applyBorder="1" applyAlignment="1">
      <alignment/>
    </xf>
    <xf numFmtId="39" fontId="13" fillId="0" borderId="0" xfId="0" applyNumberFormat="1" applyFont="1" applyBorder="1" applyAlignment="1">
      <alignment/>
    </xf>
    <xf numFmtId="39" fontId="0" fillId="0" borderId="3" xfId="0" applyNumberFormat="1" applyBorder="1" applyAlignment="1">
      <alignment/>
    </xf>
    <xf numFmtId="39" fontId="0" fillId="0" borderId="4" xfId="0" applyNumberFormat="1" applyBorder="1" applyAlignment="1">
      <alignment/>
    </xf>
    <xf numFmtId="39" fontId="0" fillId="0" borderId="7" xfId="0" applyNumberFormat="1" applyBorder="1" applyAlignment="1">
      <alignment/>
    </xf>
    <xf numFmtId="39" fontId="0" fillId="0" borderId="0" xfId="0" applyNumberFormat="1" applyBorder="1" applyAlignment="1">
      <alignment/>
    </xf>
    <xf numFmtId="0" fontId="0" fillId="0" borderId="4" xfId="0" applyBorder="1" applyAlignment="1">
      <alignment/>
    </xf>
    <xf numFmtId="39" fontId="14" fillId="0" borderId="0" xfId="0" applyNumberFormat="1" applyFont="1" applyBorder="1" applyAlignment="1">
      <alignment/>
    </xf>
    <xf numFmtId="0" fontId="0" fillId="0" borderId="12" xfId="0" applyBorder="1" applyAlignment="1" quotePrefix="1">
      <alignment/>
    </xf>
    <xf numFmtId="0" fontId="0" fillId="0" borderId="15" xfId="0" applyBorder="1" applyAlignment="1" quotePrefix="1">
      <alignment/>
    </xf>
    <xf numFmtId="39" fontId="0" fillId="0" borderId="0" xfId="0" applyNumberFormat="1" applyFont="1" applyAlignment="1">
      <alignment/>
    </xf>
    <xf numFmtId="39" fontId="0" fillId="0" borderId="0" xfId="0" applyNumberFormat="1" applyAlignment="1">
      <alignment/>
    </xf>
    <xf numFmtId="0" fontId="1" fillId="0" borderId="10" xfId="0" applyFont="1" applyBorder="1" applyAlignment="1">
      <alignment/>
    </xf>
    <xf numFmtId="39" fontId="1" fillId="0" borderId="5" xfId="0" applyNumberFormat="1" applyFont="1" applyBorder="1" applyAlignment="1">
      <alignment/>
    </xf>
    <xf numFmtId="0" fontId="0" fillId="0" borderId="3" xfId="0" applyFont="1" applyBorder="1" applyAlignment="1">
      <alignment/>
    </xf>
    <xf numFmtId="0" fontId="0" fillId="0" borderId="0" xfId="0" applyBorder="1" applyAlignment="1" quotePrefix="1">
      <alignment/>
    </xf>
    <xf numFmtId="39" fontId="1" fillId="0" borderId="19" xfId="0" applyNumberFormat="1" applyFont="1" applyBorder="1" applyAlignment="1">
      <alignment/>
    </xf>
    <xf numFmtId="0" fontId="0" fillId="0" borderId="12" xfId="0" applyFont="1" applyBorder="1" applyAlignment="1">
      <alignment/>
    </xf>
    <xf numFmtId="39" fontId="0" fillId="0" borderId="6" xfId="0" applyNumberFormat="1" applyBorder="1" applyAlignment="1">
      <alignment/>
    </xf>
    <xf numFmtId="165" fontId="4" fillId="0" borderId="0" xfId="15" applyNumberFormat="1" applyFont="1" applyFill="1" applyBorder="1" applyAlignment="1">
      <alignment/>
    </xf>
    <xf numFmtId="165" fontId="0" fillId="0" borderId="12" xfId="15" applyNumberFormat="1" applyFont="1" applyBorder="1" applyAlignment="1">
      <alignment/>
    </xf>
    <xf numFmtId="165" fontId="0" fillId="0" borderId="0" xfId="15" applyNumberFormat="1" applyBorder="1" applyAlignment="1">
      <alignment/>
    </xf>
    <xf numFmtId="43" fontId="0" fillId="0" borderId="0" xfId="15" applyBorder="1" applyAlignment="1">
      <alignment/>
    </xf>
    <xf numFmtId="0" fontId="0" fillId="0" borderId="0" xfId="0" applyBorder="1" applyAlignment="1" quotePrefix="1">
      <alignment horizontal="left"/>
    </xf>
    <xf numFmtId="171" fontId="4" fillId="0" borderId="5" xfId="0" applyNumberFormat="1" applyFont="1" applyBorder="1" applyAlignment="1">
      <alignment/>
    </xf>
    <xf numFmtId="169" fontId="15" fillId="0" borderId="0" xfId="0" applyNumberFormat="1" applyFont="1" applyBorder="1" applyAlignment="1">
      <alignment horizontal="right"/>
    </xf>
    <xf numFmtId="169" fontId="15" fillId="0" borderId="0" xfId="0" applyNumberFormat="1" applyFont="1" applyBorder="1" applyAlignment="1">
      <alignment horizontal="center"/>
    </xf>
    <xf numFmtId="165" fontId="16" fillId="0" borderId="0" xfId="15" applyNumberFormat="1" applyFont="1" applyAlignment="1" quotePrefix="1">
      <alignment horizontal="right"/>
    </xf>
    <xf numFmtId="165" fontId="16" fillId="0" borderId="0" xfId="15" applyNumberFormat="1" applyFont="1" applyBorder="1" applyAlignment="1">
      <alignment horizontal="right"/>
    </xf>
    <xf numFmtId="169" fontId="15" fillId="0" borderId="0" xfId="0" applyNumberFormat="1" applyFont="1" applyBorder="1" applyAlignment="1" quotePrefix="1">
      <alignment horizontal="right"/>
    </xf>
    <xf numFmtId="169" fontId="17" fillId="0" borderId="0" xfId="0" applyNumberFormat="1" applyFont="1" applyBorder="1" applyAlignment="1">
      <alignment horizontal="center"/>
    </xf>
    <xf numFmtId="165" fontId="17" fillId="0" borderId="0" xfId="15" applyNumberFormat="1" applyFont="1" applyBorder="1" applyAlignment="1">
      <alignment horizontal="right"/>
    </xf>
    <xf numFmtId="165" fontId="17" fillId="0" borderId="0" xfId="15" applyNumberFormat="1" applyFont="1" applyBorder="1" applyAlignment="1" quotePrefix="1">
      <alignment horizontal="right"/>
    </xf>
    <xf numFmtId="169" fontId="16" fillId="0" borderId="0" xfId="0" applyNumberFormat="1" applyFont="1" applyBorder="1" applyAlignment="1">
      <alignment horizontal="left"/>
    </xf>
    <xf numFmtId="169" fontId="16" fillId="0" borderId="0" xfId="0" applyNumberFormat="1" applyFont="1" applyBorder="1" applyAlignment="1">
      <alignment horizontal="center"/>
    </xf>
    <xf numFmtId="165" fontId="16" fillId="0" borderId="0" xfId="15" applyNumberFormat="1" applyFont="1" applyAlignment="1">
      <alignment/>
    </xf>
    <xf numFmtId="165" fontId="16" fillId="0" borderId="2" xfId="15" applyNumberFormat="1" applyFont="1" applyBorder="1" applyAlignment="1">
      <alignment horizontal="right"/>
    </xf>
    <xf numFmtId="165" fontId="16" fillId="0" borderId="5" xfId="15" applyNumberFormat="1" applyFont="1" applyBorder="1" applyAlignment="1">
      <alignment horizontal="right"/>
    </xf>
    <xf numFmtId="169" fontId="18" fillId="0" borderId="0" xfId="0" applyNumberFormat="1" applyFont="1" applyBorder="1" applyAlignment="1">
      <alignment horizontal="left"/>
    </xf>
    <xf numFmtId="169" fontId="18" fillId="0" borderId="0" xfId="0" applyNumberFormat="1" applyFont="1" applyBorder="1" applyAlignment="1">
      <alignment horizontal="center"/>
    </xf>
    <xf numFmtId="165" fontId="18" fillId="0" borderId="0" xfId="15" applyNumberFormat="1" applyFont="1" applyBorder="1" applyAlignment="1">
      <alignment horizontal="right"/>
    </xf>
    <xf numFmtId="165" fontId="18" fillId="0" borderId="0" xfId="15" applyNumberFormat="1" applyFont="1" applyAlignment="1">
      <alignment/>
    </xf>
    <xf numFmtId="165" fontId="16" fillId="0" borderId="0" xfId="15" applyNumberFormat="1" applyFont="1" applyBorder="1" applyAlignment="1">
      <alignment horizontal="center"/>
    </xf>
    <xf numFmtId="169" fontId="18" fillId="3" borderId="0" xfId="0" applyNumberFormat="1" applyFont="1" applyFill="1" applyBorder="1" applyAlignment="1">
      <alignment horizontal="left"/>
    </xf>
    <xf numFmtId="169" fontId="16" fillId="3" borderId="0" xfId="0" applyNumberFormat="1" applyFont="1" applyFill="1" applyBorder="1" applyAlignment="1">
      <alignment horizontal="center"/>
    </xf>
    <xf numFmtId="165" fontId="18" fillId="3" borderId="0" xfId="15" applyNumberFormat="1" applyFont="1" applyFill="1" applyBorder="1" applyAlignment="1">
      <alignment horizontal="right"/>
    </xf>
    <xf numFmtId="165" fontId="16" fillId="3" borderId="0" xfId="15" applyNumberFormat="1" applyFont="1" applyFill="1" applyBorder="1" applyAlignment="1">
      <alignment horizontal="right"/>
    </xf>
    <xf numFmtId="165" fontId="18" fillId="3" borderId="0" xfId="15" applyNumberFormat="1" applyFont="1" applyFill="1" applyBorder="1" applyAlignment="1">
      <alignment horizontal="center"/>
    </xf>
    <xf numFmtId="169" fontId="16" fillId="0" borderId="0" xfId="0" applyNumberFormat="1" applyFont="1" applyBorder="1" applyAlignment="1" quotePrefix="1">
      <alignment horizontal="left"/>
    </xf>
    <xf numFmtId="169" fontId="16" fillId="0" borderId="0" xfId="0" applyNumberFormat="1" applyFont="1" applyBorder="1" applyAlignment="1" quotePrefix="1">
      <alignment horizontal="center"/>
    </xf>
    <xf numFmtId="165" fontId="16" fillId="0" borderId="1" xfId="15" applyNumberFormat="1" applyFont="1" applyBorder="1" applyAlignment="1">
      <alignment horizontal="right"/>
    </xf>
    <xf numFmtId="41" fontId="16" fillId="0" borderId="0" xfId="15" applyNumberFormat="1" applyFont="1" applyBorder="1" applyAlignment="1">
      <alignment horizontal="right"/>
    </xf>
    <xf numFmtId="41" fontId="16" fillId="0" borderId="0" xfId="15" applyNumberFormat="1" applyFont="1" applyFill="1" applyBorder="1" applyAlignment="1">
      <alignment horizontal="right"/>
    </xf>
    <xf numFmtId="41" fontId="16" fillId="0" borderId="8" xfId="15" applyNumberFormat="1" applyFont="1" applyBorder="1" applyAlignment="1">
      <alignment horizontal="right"/>
    </xf>
    <xf numFmtId="41" fontId="16" fillId="0" borderId="0" xfId="0" applyNumberFormat="1" applyFont="1" applyAlignment="1">
      <alignment/>
    </xf>
    <xf numFmtId="41" fontId="16" fillId="0" borderId="5" xfId="15" applyNumberFormat="1" applyFont="1" applyBorder="1" applyAlignment="1">
      <alignment horizontal="right"/>
    </xf>
    <xf numFmtId="41" fontId="16" fillId="0" borderId="0" xfId="0" applyNumberFormat="1" applyFont="1" applyBorder="1" applyAlignment="1">
      <alignment horizontal="right"/>
    </xf>
    <xf numFmtId="41" fontId="16" fillId="0" borderId="0" xfId="15" applyNumberFormat="1" applyFont="1" applyAlignment="1">
      <alignment horizontal="right"/>
    </xf>
    <xf numFmtId="41" fontId="16" fillId="0" borderId="1" xfId="15" applyNumberFormat="1" applyFont="1" applyBorder="1" applyAlignment="1">
      <alignment horizontal="right"/>
    </xf>
    <xf numFmtId="41" fontId="0" fillId="0" borderId="0" xfId="15" applyNumberFormat="1" applyAlignment="1">
      <alignment horizontal="right"/>
    </xf>
    <xf numFmtId="38" fontId="4" fillId="0" borderId="0" xfId="0" applyNumberFormat="1" applyFont="1" applyBorder="1" applyAlignment="1">
      <alignment/>
    </xf>
    <xf numFmtId="176" fontId="4" fillId="0" borderId="0" xfId="0" applyNumberFormat="1" applyFont="1" applyAlignment="1">
      <alignment/>
    </xf>
    <xf numFmtId="38" fontId="4" fillId="0" borderId="1" xfId="0" applyNumberFormat="1" applyFont="1" applyBorder="1" applyAlignment="1">
      <alignment/>
    </xf>
    <xf numFmtId="38" fontId="4" fillId="0" borderId="5" xfId="0" applyNumberFormat="1" applyFont="1" applyBorder="1" applyAlignment="1">
      <alignment/>
    </xf>
    <xf numFmtId="38" fontId="4" fillId="0" borderId="0" xfId="0" applyNumberFormat="1" applyFont="1" applyAlignment="1">
      <alignment/>
    </xf>
    <xf numFmtId="165" fontId="4" fillId="0" borderId="11" xfId="15" applyNumberFormat="1" applyFont="1" applyBorder="1" applyAlignment="1">
      <alignment/>
    </xf>
    <xf numFmtId="38" fontId="4" fillId="0" borderId="13" xfId="0" applyNumberFormat="1" applyFont="1" applyBorder="1" applyAlignment="1">
      <alignment/>
    </xf>
    <xf numFmtId="38" fontId="4" fillId="0" borderId="11" xfId="0" applyNumberFormat="1" applyFont="1" applyBorder="1" applyAlignment="1">
      <alignment/>
    </xf>
    <xf numFmtId="178" fontId="4" fillId="0" borderId="0" xfId="0" applyNumberFormat="1" applyFont="1" applyAlignment="1">
      <alignment/>
    </xf>
    <xf numFmtId="178" fontId="4" fillId="0" borderId="0" xfId="0" applyNumberFormat="1" applyFont="1" applyAlignment="1">
      <alignment/>
    </xf>
    <xf numFmtId="37" fontId="1" fillId="0" borderId="0" xfId="0" applyNumberFormat="1" applyFont="1" applyBorder="1" applyAlignment="1">
      <alignment/>
    </xf>
    <xf numFmtId="37" fontId="1" fillId="0" borderId="0" xfId="0" applyNumberFormat="1" applyFont="1" applyAlignment="1">
      <alignment horizontal="right"/>
    </xf>
    <xf numFmtId="0" fontId="19" fillId="0" borderId="0" xfId="0" applyFont="1" applyAlignment="1">
      <alignment horizontal="center"/>
    </xf>
    <xf numFmtId="165" fontId="4" fillId="0" borderId="9" xfId="15" applyNumberFormat="1" applyFont="1" applyBorder="1" applyAlignment="1">
      <alignment horizontal="right"/>
    </xf>
    <xf numFmtId="166" fontId="4" fillId="0" borderId="9" xfId="15" applyNumberFormat="1" applyFont="1" applyBorder="1" applyAlignment="1">
      <alignment horizontal="right"/>
    </xf>
    <xf numFmtId="165" fontId="4" fillId="0" borderId="12" xfId="15" applyNumberFormat="1" applyFont="1" applyBorder="1" applyAlignment="1">
      <alignment horizontal="left"/>
    </xf>
    <xf numFmtId="165" fontId="4" fillId="0" borderId="15" xfId="15" applyNumberFormat="1" applyFont="1" applyBorder="1" applyAlignment="1">
      <alignment horizontal="left"/>
    </xf>
    <xf numFmtId="165" fontId="4" fillId="0" borderId="11" xfId="15" applyNumberFormat="1" applyFont="1" applyBorder="1" applyAlignment="1">
      <alignment horizontal="right"/>
    </xf>
    <xf numFmtId="165" fontId="4" fillId="0" borderId="20" xfId="15" applyNumberFormat="1" applyFont="1" applyBorder="1" applyAlignment="1">
      <alignment horizontal="right"/>
    </xf>
    <xf numFmtId="165" fontId="4" fillId="0" borderId="14" xfId="15" applyNumberFormat="1" applyFont="1" applyBorder="1" applyAlignment="1">
      <alignment horizontal="right"/>
    </xf>
    <xf numFmtId="165" fontId="4" fillId="0" borderId="21" xfId="15" applyNumberFormat="1" applyFont="1" applyBorder="1" applyAlignment="1">
      <alignment horizontal="right"/>
    </xf>
    <xf numFmtId="165" fontId="4" fillId="0" borderId="14" xfId="15" applyNumberFormat="1" applyFont="1" applyBorder="1" applyAlignment="1">
      <alignment/>
    </xf>
    <xf numFmtId="165" fontId="4" fillId="0" borderId="13" xfId="15" applyNumberFormat="1" applyFont="1" applyBorder="1" applyAlignment="1">
      <alignment horizontal="right"/>
    </xf>
    <xf numFmtId="165" fontId="4" fillId="0" borderId="12" xfId="15" applyNumberFormat="1" applyFont="1" applyBorder="1" applyAlignment="1">
      <alignment horizontal="right"/>
    </xf>
    <xf numFmtId="165" fontId="4" fillId="0" borderId="10" xfId="15" applyNumberFormat="1" applyFont="1" applyBorder="1" applyAlignment="1">
      <alignment horizontal="right"/>
    </xf>
    <xf numFmtId="165" fontId="4" fillId="0" borderId="22" xfId="15" applyNumberFormat="1" applyFont="1" applyBorder="1" applyAlignment="1">
      <alignment horizontal="right"/>
    </xf>
    <xf numFmtId="165" fontId="4" fillId="0" borderId="15" xfId="15" applyNumberFormat="1" applyFont="1" applyBorder="1" applyAlignment="1">
      <alignment horizontal="right"/>
    </xf>
    <xf numFmtId="165" fontId="4" fillId="0" borderId="15" xfId="15" applyNumberFormat="1" applyFont="1" applyBorder="1" applyAlignment="1">
      <alignment horizontal="center"/>
    </xf>
    <xf numFmtId="165" fontId="4" fillId="0" borderId="13" xfId="15" applyNumberFormat="1" applyFont="1" applyBorder="1" applyAlignment="1">
      <alignment horizontal="center"/>
    </xf>
    <xf numFmtId="166" fontId="4" fillId="0" borderId="5" xfId="15" applyNumberFormat="1" applyFont="1" applyBorder="1" applyAlignment="1">
      <alignment horizontal="right"/>
    </xf>
    <xf numFmtId="165" fontId="4" fillId="0" borderId="10" xfId="15" applyNumberFormat="1" applyFont="1" applyBorder="1" applyAlignment="1">
      <alignment/>
    </xf>
    <xf numFmtId="166" fontId="4" fillId="0" borderId="9" xfId="15" applyNumberFormat="1" applyFont="1" applyBorder="1" applyAlignment="1">
      <alignment/>
    </xf>
    <xf numFmtId="165" fontId="4" fillId="0" borderId="3" xfId="15" applyNumberFormat="1" applyFont="1" applyBorder="1" applyAlignment="1">
      <alignment horizontal="center"/>
    </xf>
    <xf numFmtId="165" fontId="7" fillId="0" borderId="12" xfId="15" applyNumberFormat="1" applyFont="1" applyBorder="1" applyAlignment="1">
      <alignment horizontal="center"/>
    </xf>
    <xf numFmtId="166" fontId="4" fillId="0" borderId="1" xfId="15" applyNumberFormat="1" applyFont="1" applyBorder="1" applyAlignment="1">
      <alignment horizontal="center"/>
    </xf>
    <xf numFmtId="165" fontId="4" fillId="0" borderId="12" xfId="15" applyNumberFormat="1" applyFont="1" applyBorder="1" applyAlignment="1">
      <alignment/>
    </xf>
    <xf numFmtId="165" fontId="4" fillId="0" borderId="11" xfId="15" applyNumberFormat="1" applyFont="1" applyBorder="1" applyAlignment="1">
      <alignment horizontal="center"/>
    </xf>
    <xf numFmtId="165" fontId="7" fillId="0" borderId="14" xfId="15" applyNumberFormat="1" applyFont="1" applyBorder="1" applyAlignment="1">
      <alignment horizontal="center"/>
    </xf>
    <xf numFmtId="165" fontId="4" fillId="0" borderId="11" xfId="15" applyNumberFormat="1" applyFont="1" applyBorder="1" applyAlignment="1">
      <alignment/>
    </xf>
    <xf numFmtId="165" fontId="7" fillId="0" borderId="14" xfId="15" applyNumberFormat="1" applyFont="1" applyBorder="1" applyAlignment="1" quotePrefix="1">
      <alignment horizontal="center"/>
    </xf>
    <xf numFmtId="165" fontId="7" fillId="0" borderId="14" xfId="15" applyNumberFormat="1" applyFont="1" applyBorder="1" applyAlignment="1">
      <alignment horizontal="right"/>
    </xf>
    <xf numFmtId="165" fontId="7" fillId="0" borderId="12" xfId="15" applyNumberFormat="1" applyFont="1" applyBorder="1" applyAlignment="1">
      <alignment horizontal="right"/>
    </xf>
    <xf numFmtId="165" fontId="4" fillId="0" borderId="7" xfId="15" applyNumberFormat="1" applyFont="1" applyBorder="1" applyAlignment="1">
      <alignment horizontal="center"/>
    </xf>
    <xf numFmtId="165" fontId="4" fillId="0" borderId="10" xfId="15" applyNumberFormat="1" applyFont="1" applyBorder="1" applyAlignment="1">
      <alignment horizontal="left"/>
    </xf>
    <xf numFmtId="165" fontId="4" fillId="0" borderId="9" xfId="15" applyNumberFormat="1" applyFont="1" applyBorder="1" applyAlignment="1">
      <alignment horizontal="center"/>
    </xf>
    <xf numFmtId="165" fontId="4" fillId="0" borderId="14" xfId="15" applyNumberFormat="1" applyFont="1" applyFill="1" applyBorder="1" applyAlignment="1">
      <alignment horizontal="right"/>
    </xf>
    <xf numFmtId="165" fontId="4" fillId="0" borderId="12" xfId="15" applyNumberFormat="1" applyFont="1" applyFill="1" applyBorder="1" applyAlignment="1">
      <alignment horizontal="right"/>
    </xf>
    <xf numFmtId="165" fontId="6" fillId="0" borderId="12" xfId="15" applyNumberFormat="1" applyFont="1" applyBorder="1" applyAlignment="1">
      <alignment horizontal="left"/>
    </xf>
    <xf numFmtId="165" fontId="4" fillId="0" borderId="13" xfId="15" applyNumberFormat="1" applyFont="1" applyBorder="1" applyAlignment="1">
      <alignment/>
    </xf>
    <xf numFmtId="165" fontId="4" fillId="0" borderId="15" xfId="15" applyNumberFormat="1" applyFont="1" applyBorder="1" applyAlignment="1">
      <alignment/>
    </xf>
    <xf numFmtId="165" fontId="4" fillId="0" borderId="14" xfId="15" applyNumberFormat="1" applyFont="1" applyBorder="1" applyAlignment="1">
      <alignment horizontal="left"/>
    </xf>
    <xf numFmtId="165" fontId="6" fillId="0" borderId="14" xfId="15" applyNumberFormat="1" applyFont="1" applyBorder="1" applyAlignment="1">
      <alignment horizontal="left"/>
    </xf>
    <xf numFmtId="165" fontId="4" fillId="0" borderId="13" xfId="15" applyNumberFormat="1" applyFont="1" applyBorder="1" applyAlignment="1">
      <alignment horizontal="left"/>
    </xf>
    <xf numFmtId="165" fontId="0" fillId="0" borderId="13" xfId="15" applyNumberFormat="1" applyFont="1" applyBorder="1" applyAlignment="1">
      <alignment horizontal="center"/>
    </xf>
    <xf numFmtId="0" fontId="1" fillId="0" borderId="0" xfId="0" applyFont="1" applyBorder="1" applyAlignment="1">
      <alignment horizontal="center"/>
    </xf>
    <xf numFmtId="165" fontId="0" fillId="0" borderId="0" xfId="15" applyNumberFormat="1" applyFont="1" applyBorder="1" applyAlignment="1">
      <alignment/>
    </xf>
    <xf numFmtId="37" fontId="0" fillId="0" borderId="5" xfId="0" applyNumberFormat="1" applyBorder="1" applyAlignment="1">
      <alignment/>
    </xf>
    <xf numFmtId="37" fontId="4" fillId="0" borderId="0" xfId="15" applyNumberFormat="1" applyFont="1" applyAlignment="1">
      <alignment/>
    </xf>
    <xf numFmtId="165" fontId="4" fillId="0" borderId="12" xfId="15" applyNumberFormat="1" applyFont="1" applyFill="1" applyBorder="1" applyAlignment="1">
      <alignment horizontal="left"/>
    </xf>
    <xf numFmtId="165" fontId="4" fillId="0" borderId="0" xfId="15" applyNumberFormat="1" applyFont="1" applyFill="1" applyBorder="1" applyAlignment="1">
      <alignment horizontal="center"/>
    </xf>
    <xf numFmtId="167" fontId="4" fillId="0" borderId="0" xfId="15" applyNumberFormat="1" applyFont="1" applyFill="1" applyBorder="1" applyAlignment="1">
      <alignment horizontal="right"/>
    </xf>
    <xf numFmtId="165" fontId="4" fillId="0" borderId="4" xfId="15" applyNumberFormat="1" applyFont="1" applyFill="1" applyBorder="1" applyAlignment="1">
      <alignment horizontal="right"/>
    </xf>
    <xf numFmtId="37" fontId="0" fillId="0" borderId="10" xfId="0" applyNumberFormat="1" applyFont="1" applyBorder="1" applyAlignment="1">
      <alignment/>
    </xf>
    <xf numFmtId="37" fontId="1" fillId="0" borderId="9" xfId="0" applyNumberFormat="1" applyFont="1" applyBorder="1" applyAlignment="1">
      <alignment/>
    </xf>
    <xf numFmtId="37" fontId="0" fillId="0" borderId="9" xfId="0" applyNumberFormat="1" applyFont="1" applyBorder="1" applyAlignment="1">
      <alignment/>
    </xf>
    <xf numFmtId="37" fontId="0" fillId="0" borderId="3" xfId="0" applyNumberFormat="1" applyFont="1" applyBorder="1" applyAlignment="1">
      <alignment/>
    </xf>
    <xf numFmtId="37" fontId="0" fillId="0" borderId="15" xfId="0" applyNumberFormat="1" applyBorder="1" applyAlignment="1">
      <alignment/>
    </xf>
    <xf numFmtId="37" fontId="0" fillId="0" borderId="7" xfId="0" applyNumberFormat="1" applyFont="1" applyBorder="1" applyAlignment="1">
      <alignment/>
    </xf>
    <xf numFmtId="37" fontId="1" fillId="0" borderId="10" xfId="0" applyNumberFormat="1" applyFont="1" applyBorder="1" applyAlignment="1">
      <alignment/>
    </xf>
    <xf numFmtId="37" fontId="0" fillId="0" borderId="7" xfId="0" applyNumberFormat="1" applyBorder="1" applyAlignment="1">
      <alignment/>
    </xf>
    <xf numFmtId="0" fontId="0" fillId="4" borderId="0" xfId="0" applyFill="1" applyAlignment="1">
      <alignment/>
    </xf>
    <xf numFmtId="0" fontId="0" fillId="4" borderId="0" xfId="0" applyFill="1" applyAlignment="1" quotePrefix="1">
      <alignment horizontal="center"/>
    </xf>
    <xf numFmtId="39" fontId="0" fillId="4" borderId="0" xfId="0" applyNumberFormat="1" applyFill="1" applyAlignment="1">
      <alignment/>
    </xf>
    <xf numFmtId="37" fontId="0" fillId="4" borderId="0" xfId="0" applyNumberFormat="1" applyFill="1" applyAlignment="1">
      <alignment/>
    </xf>
    <xf numFmtId="37" fontId="0" fillId="4" borderId="0" xfId="0" applyNumberFormat="1" applyFill="1" applyAlignment="1">
      <alignment horizontal="left"/>
    </xf>
    <xf numFmtId="37" fontId="0" fillId="4" borderId="0" xfId="0" applyNumberFormat="1" applyFill="1" applyAlignment="1">
      <alignment horizontal="right"/>
    </xf>
    <xf numFmtId="37" fontId="0" fillId="4" borderId="0" xfId="0" applyNumberFormat="1" applyFont="1" applyFill="1" applyAlignment="1">
      <alignment/>
    </xf>
    <xf numFmtId="0" fontId="1" fillId="0" borderId="0" xfId="0" applyFont="1" applyAlignment="1">
      <alignment horizontal="center" wrapText="1"/>
    </xf>
    <xf numFmtId="0" fontId="1" fillId="0" borderId="0" xfId="0" applyFont="1" applyAlignment="1">
      <alignment horizontal="right" wrapText="1"/>
    </xf>
    <xf numFmtId="0" fontId="0" fillId="0" borderId="0" xfId="0" applyAlignment="1">
      <alignment horizontal="left" wrapText="1"/>
    </xf>
    <xf numFmtId="0" fontId="0" fillId="0" borderId="0" xfId="0" applyAlignment="1">
      <alignment vertical="top"/>
    </xf>
    <xf numFmtId="43" fontId="0" fillId="0" borderId="0" xfId="15" applyAlignment="1">
      <alignment horizontal="right"/>
    </xf>
    <xf numFmtId="0" fontId="0" fillId="0" borderId="0" xfId="0" applyAlignment="1">
      <alignment horizontal="right" wrapText="1"/>
    </xf>
    <xf numFmtId="0" fontId="1" fillId="0" borderId="0" xfId="0" applyFont="1" applyAlignment="1">
      <alignment horizontal="center" vertical="top" wrapText="1"/>
    </xf>
    <xf numFmtId="0" fontId="0" fillId="0" borderId="0" xfId="0" applyFont="1" applyAlignment="1">
      <alignment/>
    </xf>
    <xf numFmtId="0" fontId="0" fillId="0" borderId="10" xfId="0" applyFont="1" applyBorder="1" applyAlignment="1">
      <alignment horizontal="center"/>
    </xf>
    <xf numFmtId="0" fontId="0" fillId="0" borderId="10" xfId="0" applyFont="1" applyBorder="1" applyAlignment="1">
      <alignment horizontal="center" wrapText="1"/>
    </xf>
    <xf numFmtId="0" fontId="0" fillId="0" borderId="3" xfId="0" applyFont="1" applyBorder="1" applyAlignment="1">
      <alignment horizontal="center" wrapText="1"/>
    </xf>
    <xf numFmtId="0" fontId="0" fillId="0" borderId="9" xfId="0" applyFont="1" applyBorder="1" applyAlignment="1">
      <alignment horizontal="center"/>
    </xf>
    <xf numFmtId="0" fontId="0" fillId="0" borderId="3" xfId="0" applyFont="1" applyBorder="1" applyAlignment="1">
      <alignment horizontal="center"/>
    </xf>
    <xf numFmtId="0" fontId="0" fillId="0" borderId="15" xfId="0" applyFont="1" applyBorder="1" applyAlignment="1">
      <alignment horizontal="left"/>
    </xf>
    <xf numFmtId="0" fontId="0" fillId="0" borderId="7" xfId="0" applyFont="1" applyBorder="1" applyAlignment="1">
      <alignment/>
    </xf>
    <xf numFmtId="0" fontId="0" fillId="0" borderId="15" xfId="0" applyFont="1" applyBorder="1" applyAlignment="1">
      <alignment horizontal="center" wrapText="1"/>
    </xf>
    <xf numFmtId="0" fontId="0" fillId="0" borderId="7" xfId="0" applyFont="1" applyBorder="1" applyAlignment="1">
      <alignment horizontal="center" wrapText="1"/>
    </xf>
    <xf numFmtId="0" fontId="0" fillId="0" borderId="15" xfId="0" applyFont="1" applyBorder="1" applyAlignment="1">
      <alignment horizontal="center"/>
    </xf>
    <xf numFmtId="0" fontId="0" fillId="0" borderId="1"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horizontal="center" wrapText="1"/>
    </xf>
    <xf numFmtId="0" fontId="0" fillId="0" borderId="0" xfId="0" applyFont="1" applyBorder="1" applyAlignment="1">
      <alignment horizontal="center"/>
    </xf>
    <xf numFmtId="0" fontId="0" fillId="0" borderId="0" xfId="0" applyAlignment="1">
      <alignment horizontal="left" vertical="top" wrapText="1"/>
    </xf>
    <xf numFmtId="43" fontId="0" fillId="0" borderId="0" xfId="15" applyAlignment="1">
      <alignment/>
    </xf>
    <xf numFmtId="0" fontId="0" fillId="0" borderId="0" xfId="0" applyAlignment="1">
      <alignment vertical="top" wrapText="1"/>
    </xf>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Alignment="1">
      <alignment horizontal="center"/>
    </xf>
    <xf numFmtId="0" fontId="1" fillId="0" borderId="0" xfId="0" applyFont="1" applyAlignment="1">
      <alignment horizontal="center" vertical="top" wrapText="1"/>
    </xf>
    <xf numFmtId="37" fontId="0" fillId="0" borderId="0" xfId="0" applyNumberFormat="1" applyAlignment="1">
      <alignment horizontal="center"/>
    </xf>
    <xf numFmtId="0" fontId="1" fillId="0" borderId="0" xfId="0" applyFont="1" applyAlignment="1">
      <alignment horizontal="center" wrapText="1"/>
    </xf>
    <xf numFmtId="0" fontId="0" fillId="0" borderId="0" xfId="0" applyAlignment="1">
      <alignment horizontal="left" wrapText="1" indent="1"/>
    </xf>
    <xf numFmtId="3" fontId="0" fillId="0" borderId="8" xfId="0" applyNumberFormat="1" applyBorder="1" applyAlignment="1">
      <alignment/>
    </xf>
    <xf numFmtId="0" fontId="0" fillId="0" borderId="8" xfId="0" applyBorder="1" applyAlignment="1">
      <alignment/>
    </xf>
    <xf numFmtId="3" fontId="0" fillId="0" borderId="0" xfId="0" applyNumberFormat="1" applyAlignment="1">
      <alignment/>
    </xf>
    <xf numFmtId="165" fontId="4" fillId="0" borderId="14" xfId="15" applyNumberFormat="1" applyFont="1" applyBorder="1" applyAlignment="1">
      <alignment horizontal="center"/>
    </xf>
    <xf numFmtId="165" fontId="4" fillId="0" borderId="12" xfId="15" applyNumberFormat="1" applyFont="1" applyBorder="1" applyAlignment="1">
      <alignment horizontal="center"/>
    </xf>
    <xf numFmtId="166" fontId="4" fillId="0" borderId="0" xfId="15" applyNumberFormat="1" applyFont="1" applyBorder="1" applyAlignment="1">
      <alignment horizontal="center"/>
    </xf>
    <xf numFmtId="165" fontId="4" fillId="0" borderId="4" xfId="15" applyNumberFormat="1" applyFont="1" applyBorder="1" applyAlignment="1">
      <alignment horizontal="center"/>
    </xf>
    <xf numFmtId="166" fontId="7" fillId="0" borderId="14" xfId="15" applyNumberFormat="1" applyFont="1" applyBorder="1" applyAlignment="1">
      <alignment horizontal="center"/>
    </xf>
    <xf numFmtId="165" fontId="15" fillId="0" borderId="10" xfId="15" applyNumberFormat="1" applyFont="1" applyBorder="1" applyAlignment="1">
      <alignment horizontal="right"/>
    </xf>
    <xf numFmtId="165" fontId="15" fillId="0" borderId="9" xfId="15" applyNumberFormat="1" applyFont="1" applyBorder="1" applyAlignment="1">
      <alignment horizontal="center"/>
    </xf>
    <xf numFmtId="165" fontId="16" fillId="0" borderId="14" xfId="15" applyNumberFormat="1" applyFont="1" applyBorder="1" applyAlignment="1">
      <alignment horizontal="right"/>
    </xf>
    <xf numFmtId="165" fontId="16" fillId="0" borderId="0" xfId="15" applyNumberFormat="1" applyFont="1" applyBorder="1" applyAlignment="1">
      <alignment horizontal="right"/>
    </xf>
    <xf numFmtId="165" fontId="16" fillId="0" borderId="12" xfId="15" applyNumberFormat="1" applyFont="1" applyBorder="1" applyAlignment="1">
      <alignment horizontal="right"/>
    </xf>
    <xf numFmtId="166" fontId="16" fillId="0" borderId="0" xfId="15" applyNumberFormat="1" applyFont="1" applyBorder="1" applyAlignment="1">
      <alignment horizontal="right"/>
    </xf>
    <xf numFmtId="165" fontId="18" fillId="0" borderId="10" xfId="15" applyNumberFormat="1" applyFont="1" applyBorder="1" applyAlignment="1">
      <alignment horizontal="right"/>
    </xf>
    <xf numFmtId="165" fontId="20" fillId="0" borderId="9" xfId="15" applyNumberFormat="1" applyFont="1" applyBorder="1" applyAlignment="1">
      <alignment horizontal="center"/>
    </xf>
    <xf numFmtId="165" fontId="18" fillId="3" borderId="11" xfId="15" applyNumberFormat="1" applyFont="1" applyFill="1" applyBorder="1" applyAlignment="1">
      <alignment horizontal="right"/>
    </xf>
    <xf numFmtId="165" fontId="18" fillId="3" borderId="9" xfId="15" applyNumberFormat="1" applyFont="1" applyFill="1" applyBorder="1" applyAlignment="1">
      <alignment horizontal="right"/>
    </xf>
    <xf numFmtId="165" fontId="18" fillId="3" borderId="10" xfId="15" applyNumberFormat="1" applyFont="1" applyFill="1" applyBorder="1" applyAlignment="1">
      <alignment horizontal="right"/>
    </xf>
    <xf numFmtId="166" fontId="18" fillId="3" borderId="9" xfId="15" applyNumberFormat="1" applyFont="1" applyFill="1" applyBorder="1" applyAlignment="1">
      <alignment horizontal="right"/>
    </xf>
    <xf numFmtId="165" fontId="18" fillId="0" borderId="15" xfId="15" applyNumberFormat="1" applyFont="1" applyBorder="1" applyAlignment="1">
      <alignment horizontal="right"/>
    </xf>
    <xf numFmtId="165" fontId="20" fillId="0" borderId="1" xfId="15" applyNumberFormat="1" applyFont="1" applyBorder="1" applyAlignment="1">
      <alignment horizontal="center"/>
    </xf>
    <xf numFmtId="165" fontId="18" fillId="3" borderId="13" xfId="15" applyNumberFormat="1" applyFont="1" applyFill="1" applyBorder="1" applyAlignment="1">
      <alignment horizontal="right"/>
    </xf>
    <xf numFmtId="165" fontId="18" fillId="3" borderId="1" xfId="15" applyNumberFormat="1" applyFont="1" applyFill="1" applyBorder="1" applyAlignment="1">
      <alignment horizontal="right"/>
    </xf>
    <xf numFmtId="165" fontId="18" fillId="3" borderId="15" xfId="15" applyNumberFormat="1" applyFont="1" applyFill="1" applyBorder="1" applyAlignment="1">
      <alignment horizontal="right"/>
    </xf>
    <xf numFmtId="170" fontId="18" fillId="3" borderId="1" xfId="15" applyNumberFormat="1" applyFont="1" applyFill="1" applyBorder="1" applyAlignment="1">
      <alignment horizontal="center"/>
    </xf>
    <xf numFmtId="165" fontId="18" fillId="0" borderId="12" xfId="15" applyNumberFormat="1" applyFont="1" applyBorder="1" applyAlignment="1">
      <alignment horizontal="right"/>
    </xf>
    <xf numFmtId="165" fontId="20" fillId="0" borderId="0" xfId="15" applyNumberFormat="1" applyFont="1" applyBorder="1" applyAlignment="1">
      <alignment horizontal="center"/>
    </xf>
    <xf numFmtId="165" fontId="18" fillId="0" borderId="14" xfId="15" applyNumberFormat="1" applyFont="1" applyBorder="1" applyAlignment="1">
      <alignment horizontal="right"/>
    </xf>
    <xf numFmtId="170" fontId="18" fillId="0" borderId="0" xfId="15" applyNumberFormat="1" applyFont="1" applyBorder="1" applyAlignment="1">
      <alignment horizontal="center"/>
    </xf>
    <xf numFmtId="0" fontId="1" fillId="0" borderId="0" xfId="0" applyFont="1" applyAlignment="1">
      <alignment horizontal="center" vertical="top"/>
    </xf>
    <xf numFmtId="0" fontId="1" fillId="0" borderId="0" xfId="0" applyFont="1" applyAlignment="1">
      <alignment horizontal="center"/>
    </xf>
    <xf numFmtId="16" fontId="0" fillId="0" borderId="0" xfId="0" applyNumberFormat="1" applyBorder="1" applyAlignment="1">
      <alignment/>
    </xf>
    <xf numFmtId="0" fontId="0" fillId="0" borderId="0" xfId="0" applyBorder="1" applyAlignment="1">
      <alignment/>
    </xf>
    <xf numFmtId="165" fontId="16" fillId="0" borderId="12" xfId="15" applyNumberFormat="1" applyFont="1" applyBorder="1" applyAlignment="1">
      <alignment horizontal="left"/>
    </xf>
    <xf numFmtId="165" fontId="16" fillId="0" borderId="0" xfId="15" applyNumberFormat="1" applyFont="1" applyBorder="1" applyAlignment="1">
      <alignment horizontal="center"/>
    </xf>
    <xf numFmtId="165" fontId="16" fillId="0" borderId="20" xfId="15" applyNumberFormat="1" applyFont="1" applyBorder="1" applyAlignment="1">
      <alignment horizontal="right"/>
    </xf>
    <xf numFmtId="165" fontId="16" fillId="0" borderId="2" xfId="15" applyNumberFormat="1" applyFont="1" applyBorder="1" applyAlignment="1">
      <alignment horizontal="right"/>
    </xf>
    <xf numFmtId="165" fontId="16" fillId="0" borderId="18" xfId="15" applyNumberFormat="1" applyFont="1" applyBorder="1" applyAlignment="1">
      <alignment horizontal="right"/>
    </xf>
    <xf numFmtId="166" fontId="16" fillId="0" borderId="2" xfId="15" applyNumberFormat="1" applyFont="1" applyBorder="1" applyAlignment="1">
      <alignment horizontal="right"/>
    </xf>
    <xf numFmtId="166" fontId="16" fillId="0" borderId="0" xfId="15" applyNumberFormat="1" applyFont="1" applyBorder="1" applyAlignment="1">
      <alignment/>
    </xf>
    <xf numFmtId="165" fontId="16" fillId="0" borderId="21" xfId="15" applyNumberFormat="1" applyFont="1" applyBorder="1" applyAlignment="1">
      <alignment horizontal="right"/>
    </xf>
    <xf numFmtId="165" fontId="16" fillId="0" borderId="5" xfId="15" applyNumberFormat="1" applyFont="1" applyBorder="1" applyAlignment="1">
      <alignment horizontal="right"/>
    </xf>
    <xf numFmtId="165" fontId="16" fillId="0" borderId="22" xfId="15" applyNumberFormat="1" applyFont="1" applyBorder="1" applyAlignment="1">
      <alignment horizontal="right"/>
    </xf>
    <xf numFmtId="166" fontId="16" fillId="0" borderId="5" xfId="15" applyNumberFormat="1" applyFont="1" applyBorder="1" applyAlignment="1">
      <alignment horizontal="right"/>
    </xf>
    <xf numFmtId="165" fontId="16" fillId="0" borderId="14" xfId="15" applyNumberFormat="1" applyFont="1" applyBorder="1" applyAlignment="1">
      <alignment/>
    </xf>
    <xf numFmtId="165" fontId="16" fillId="0" borderId="12" xfId="15" applyNumberFormat="1" applyFont="1" applyBorder="1" applyAlignment="1">
      <alignment/>
    </xf>
    <xf numFmtId="165" fontId="18" fillId="0" borderId="12" xfId="15" applyNumberFormat="1" applyFont="1" applyBorder="1" applyAlignment="1">
      <alignment horizontal="left"/>
    </xf>
    <xf numFmtId="165" fontId="18" fillId="3" borderId="14" xfId="15" applyNumberFormat="1" applyFont="1" applyFill="1" applyBorder="1" applyAlignment="1">
      <alignment horizontal="right"/>
    </xf>
    <xf numFmtId="165" fontId="18" fillId="3" borderId="12" xfId="15" applyNumberFormat="1" applyFont="1" applyFill="1" applyBorder="1" applyAlignment="1">
      <alignment horizontal="right"/>
    </xf>
    <xf numFmtId="166" fontId="18" fillId="3" borderId="0" xfId="15" applyNumberFormat="1" applyFont="1" applyFill="1" applyBorder="1" applyAlignment="1">
      <alignment horizontal="right"/>
    </xf>
    <xf numFmtId="165" fontId="18" fillId="3" borderId="14" xfId="15" applyNumberFormat="1" applyFont="1" applyFill="1" applyBorder="1" applyAlignment="1">
      <alignment/>
    </xf>
    <xf numFmtId="165" fontId="18" fillId="3" borderId="12" xfId="15" applyNumberFormat="1" applyFont="1" applyFill="1" applyBorder="1" applyAlignment="1">
      <alignment/>
    </xf>
    <xf numFmtId="165" fontId="16" fillId="0" borderId="12" xfId="15" applyNumberFormat="1" applyFont="1" applyBorder="1" applyAlignment="1" quotePrefix="1">
      <alignment horizontal="left"/>
    </xf>
    <xf numFmtId="165" fontId="16" fillId="0" borderId="13" xfId="15" applyNumberFormat="1" applyFont="1" applyBorder="1" applyAlignment="1">
      <alignment horizontal="right"/>
    </xf>
    <xf numFmtId="165" fontId="16" fillId="0" borderId="1" xfId="15" applyNumberFormat="1" applyFont="1" applyBorder="1" applyAlignment="1">
      <alignment horizontal="right"/>
    </xf>
    <xf numFmtId="165" fontId="16" fillId="0" borderId="15" xfId="15" applyNumberFormat="1" applyFont="1" applyBorder="1" applyAlignment="1">
      <alignment horizontal="right"/>
    </xf>
    <xf numFmtId="166" fontId="16" fillId="0" borderId="1" xfId="15" applyNumberFormat="1" applyFont="1" applyBorder="1" applyAlignment="1">
      <alignment horizontal="right"/>
    </xf>
    <xf numFmtId="165" fontId="16" fillId="0" borderId="0" xfId="15" applyNumberFormat="1" applyFont="1" applyBorder="1" applyAlignment="1" quotePrefix="1">
      <alignment horizontal="center"/>
    </xf>
    <xf numFmtId="165" fontId="21" fillId="0" borderId="14" xfId="15" applyNumberFormat="1" applyFont="1" applyBorder="1" applyAlignment="1">
      <alignment/>
    </xf>
    <xf numFmtId="165" fontId="16" fillId="0" borderId="12" xfId="15" applyNumberFormat="1" applyFont="1" applyBorder="1" applyAlignment="1">
      <alignment horizontal="left"/>
    </xf>
    <xf numFmtId="165" fontId="16" fillId="0" borderId="14" xfId="15" applyNumberFormat="1" applyFont="1" applyBorder="1" applyAlignment="1">
      <alignment horizontal="right"/>
    </xf>
    <xf numFmtId="165" fontId="16" fillId="0" borderId="12" xfId="15" applyNumberFormat="1" applyFont="1" applyBorder="1" applyAlignment="1">
      <alignment horizontal="right"/>
    </xf>
    <xf numFmtId="167" fontId="16" fillId="0" borderId="0" xfId="15" applyNumberFormat="1" applyFont="1" applyBorder="1" applyAlignment="1">
      <alignment horizontal="right"/>
    </xf>
    <xf numFmtId="165" fontId="16" fillId="0" borderId="4" xfId="15" applyNumberFormat="1" applyFont="1" applyBorder="1" applyAlignment="1">
      <alignment horizontal="right"/>
    </xf>
    <xf numFmtId="166" fontId="16" fillId="0" borderId="0" xfId="15" applyNumberFormat="1" applyFont="1" applyBorder="1" applyAlignment="1">
      <alignment horizontal="right"/>
    </xf>
    <xf numFmtId="165" fontId="16" fillId="0" borderId="12" xfId="15" applyNumberFormat="1" applyFont="1" applyBorder="1" applyAlignment="1" quotePrefix="1">
      <alignment horizontal="left"/>
    </xf>
    <xf numFmtId="165" fontId="16" fillId="0" borderId="0" xfId="15" applyNumberFormat="1" applyFont="1" applyBorder="1" applyAlignment="1" quotePrefix="1">
      <alignment horizontal="center"/>
    </xf>
    <xf numFmtId="165" fontId="16" fillId="0" borderId="23" xfId="15" applyNumberFormat="1" applyFont="1" applyBorder="1" applyAlignment="1">
      <alignment horizontal="right"/>
    </xf>
    <xf numFmtId="165" fontId="16" fillId="0" borderId="8" xfId="15" applyNumberFormat="1" applyFont="1" applyBorder="1" applyAlignment="1">
      <alignment horizontal="right"/>
    </xf>
    <xf numFmtId="165" fontId="16" fillId="0" borderId="24" xfId="15" applyNumberFormat="1" applyFont="1" applyBorder="1" applyAlignment="1">
      <alignment horizontal="right"/>
    </xf>
    <xf numFmtId="166" fontId="16" fillId="0" borderId="8" xfId="15" applyNumberFormat="1" applyFont="1" applyBorder="1" applyAlignment="1">
      <alignment horizontal="right"/>
    </xf>
    <xf numFmtId="165" fontId="16" fillId="0" borderId="25" xfId="15" applyNumberFormat="1" applyFont="1" applyBorder="1" applyAlignment="1">
      <alignment horizontal="right"/>
    </xf>
    <xf numFmtId="165" fontId="16" fillId="0" borderId="14" xfId="15" applyNumberFormat="1" applyFont="1" applyBorder="1" applyAlignment="1">
      <alignment/>
    </xf>
    <xf numFmtId="165" fontId="16" fillId="0" borderId="0" xfId="15" applyNumberFormat="1" applyFont="1" applyBorder="1" applyAlignment="1">
      <alignment/>
    </xf>
    <xf numFmtId="165" fontId="16" fillId="0" borderId="4" xfId="15" applyNumberFormat="1" applyFont="1" applyBorder="1" applyAlignment="1">
      <alignment/>
    </xf>
    <xf numFmtId="165" fontId="15" fillId="0" borderId="12" xfId="15" applyNumberFormat="1" applyFont="1" applyBorder="1" applyAlignment="1">
      <alignment horizontal="left"/>
    </xf>
    <xf numFmtId="165" fontId="16" fillId="0" borderId="1" xfId="15" applyNumberFormat="1" applyFont="1" applyBorder="1" applyAlignment="1">
      <alignment horizontal="center"/>
    </xf>
    <xf numFmtId="166" fontId="16" fillId="0" borderId="1" xfId="15" applyNumberFormat="1" applyFont="1" applyBorder="1" applyAlignment="1">
      <alignment horizontal="right"/>
    </xf>
    <xf numFmtId="165" fontId="16" fillId="0" borderId="7" xfId="15" applyNumberFormat="1" applyFont="1" applyBorder="1" applyAlignment="1">
      <alignment horizontal="right"/>
    </xf>
    <xf numFmtId="165" fontId="16" fillId="0" borderId="15" xfId="15" applyNumberFormat="1" applyFont="1" applyBorder="1" applyAlignment="1">
      <alignment horizontal="left"/>
    </xf>
    <xf numFmtId="0" fontId="15" fillId="0" borderId="0" xfId="15" applyNumberFormat="1" applyFont="1" applyAlignment="1">
      <alignment/>
    </xf>
    <xf numFmtId="15" fontId="15" fillId="0" borderId="0" xfId="15" applyNumberFormat="1" applyFont="1" applyAlignment="1" quotePrefix="1">
      <alignment/>
    </xf>
    <xf numFmtId="165" fontId="0" fillId="0" borderId="12" xfId="15" applyNumberFormat="1" applyFill="1" applyBorder="1" applyAlignment="1">
      <alignment/>
    </xf>
    <xf numFmtId="0" fontId="12" fillId="0" borderId="0" xfId="0" applyFont="1" applyAlignment="1">
      <alignment/>
    </xf>
    <xf numFmtId="0" fontId="12" fillId="0" borderId="0" xfId="0" applyFont="1" applyAlignment="1">
      <alignment horizontal="center"/>
    </xf>
    <xf numFmtId="37" fontId="2" fillId="0" borderId="0" xfId="0" applyNumberFormat="1" applyFont="1" applyAlignment="1">
      <alignment/>
    </xf>
    <xf numFmtId="37" fontId="2" fillId="0" borderId="0" xfId="0" applyNumberFormat="1" applyFont="1" applyAlignment="1">
      <alignment horizontal="right"/>
    </xf>
    <xf numFmtId="37" fontId="12" fillId="0" borderId="0" xfId="0" applyNumberFormat="1" applyFont="1" applyAlignment="1">
      <alignment horizontal="center"/>
    </xf>
    <xf numFmtId="39" fontId="2" fillId="0" borderId="0" xfId="0" applyNumberFormat="1" applyFont="1" applyAlignment="1">
      <alignment horizontal="right"/>
    </xf>
    <xf numFmtId="0" fontId="12" fillId="0" borderId="0" xfId="0" applyFont="1" applyAlignment="1">
      <alignment horizontal="right"/>
    </xf>
    <xf numFmtId="37" fontId="2" fillId="0" borderId="5" xfId="0" applyNumberFormat="1" applyFont="1" applyBorder="1" applyAlignment="1">
      <alignment/>
    </xf>
    <xf numFmtId="0" fontId="1" fillId="0" borderId="0" xfId="0" applyFont="1" applyAlignment="1">
      <alignment horizontal="center" vertical="top"/>
    </xf>
    <xf numFmtId="37" fontId="0" fillId="0" borderId="0" xfId="0" applyNumberFormat="1" applyAlignment="1">
      <alignment wrapText="1"/>
    </xf>
    <xf numFmtId="37" fontId="0" fillId="0" borderId="0" xfId="0" applyNumberFormat="1" applyAlignment="1">
      <alignment horizontal="right"/>
    </xf>
    <xf numFmtId="37" fontId="0" fillId="0" borderId="0" xfId="0" applyNumberFormat="1" applyAlignment="1">
      <alignment wrapText="1"/>
    </xf>
    <xf numFmtId="39" fontId="0" fillId="0" borderId="0" xfId="0" applyNumberFormat="1" applyAlignment="1">
      <alignment/>
    </xf>
    <xf numFmtId="37" fontId="0" fillId="0" borderId="0" xfId="0" applyNumberFormat="1" applyAlignment="1">
      <alignment/>
    </xf>
    <xf numFmtId="0" fontId="0" fillId="0" borderId="0" xfId="0" applyAlignment="1">
      <alignment horizontal="left" vertical="center" wrapText="1"/>
    </xf>
    <xf numFmtId="0" fontId="0" fillId="0" borderId="0" xfId="0" applyAlignment="1">
      <alignment horizontal="center" wrapText="1"/>
    </xf>
    <xf numFmtId="0" fontId="0" fillId="0" borderId="0" xfId="0" applyAlignment="1">
      <alignment horizontal="left" indent="1"/>
    </xf>
    <xf numFmtId="37" fontId="0" fillId="0" borderId="0" xfId="0" applyNumberFormat="1" applyBorder="1" applyAlignment="1">
      <alignment/>
    </xf>
    <xf numFmtId="43" fontId="0" fillId="0" borderId="0" xfId="15" applyAlignment="1">
      <alignment horizontal="right"/>
    </xf>
    <xf numFmtId="37" fontId="0" fillId="0" borderId="0" xfId="15" applyNumberFormat="1" applyAlignment="1">
      <alignment/>
    </xf>
    <xf numFmtId="37" fontId="0" fillId="0" borderId="1" xfId="15" applyNumberFormat="1" applyBorder="1" applyAlignment="1">
      <alignment/>
    </xf>
    <xf numFmtId="0" fontId="1" fillId="0" borderId="0" xfId="0" applyFont="1" applyBorder="1" applyAlignment="1">
      <alignment horizontal="center"/>
    </xf>
    <xf numFmtId="0" fontId="5" fillId="0" borderId="0" xfId="0" applyFont="1" applyAlignment="1">
      <alignment vertical="top" wrapText="1"/>
    </xf>
    <xf numFmtId="0" fontId="0" fillId="0" borderId="0" xfId="0" applyAlignment="1">
      <alignment horizontal="right" wrapText="1"/>
    </xf>
    <xf numFmtId="0" fontId="1" fillId="0" borderId="0" xfId="0" applyFont="1" applyAlignment="1">
      <alignment horizontal="right"/>
    </xf>
    <xf numFmtId="0" fontId="0" fillId="0" borderId="0" xfId="0" applyAlignment="1">
      <alignment horizontal="right"/>
    </xf>
    <xf numFmtId="41" fontId="0" fillId="0" borderId="0" xfId="15" applyNumberFormat="1" applyAlignment="1">
      <alignment horizontal="right"/>
    </xf>
    <xf numFmtId="37" fontId="0" fillId="0" borderId="12" xfId="0" applyNumberFormat="1" applyFont="1" applyBorder="1" applyAlignment="1">
      <alignment horizontal="center" wrapText="1"/>
    </xf>
    <xf numFmtId="37" fontId="0" fillId="0" borderId="0" xfId="0" applyNumberFormat="1" applyFont="1" applyAlignment="1">
      <alignment horizontal="center" wrapText="1"/>
    </xf>
    <xf numFmtId="37" fontId="0" fillId="0" borderId="4" xfId="0" applyNumberFormat="1" applyFont="1" applyBorder="1" applyAlignment="1">
      <alignment horizontal="center" wrapText="1"/>
    </xf>
    <xf numFmtId="0" fontId="0" fillId="0" borderId="12" xfId="0" applyFont="1" applyBorder="1" applyAlignment="1">
      <alignment horizontal="center" wrapText="1"/>
    </xf>
    <xf numFmtId="0" fontId="0" fillId="0" borderId="4" xfId="0" applyFont="1" applyBorder="1" applyAlignment="1">
      <alignment horizontal="center" wrapText="1"/>
    </xf>
    <xf numFmtId="0" fontId="0" fillId="0" borderId="23" xfId="0" applyFont="1" applyBorder="1" applyAlignment="1">
      <alignment horizontal="center"/>
    </xf>
    <xf numFmtId="0" fontId="0" fillId="0" borderId="0" xfId="0" applyAlignment="1">
      <alignment vertical="center" wrapText="1"/>
    </xf>
    <xf numFmtId="0" fontId="0" fillId="0" borderId="23" xfId="0" applyFont="1" applyBorder="1" applyAlignment="1">
      <alignment horizontal="center" wrapText="1"/>
    </xf>
    <xf numFmtId="0" fontId="0" fillId="0" borderId="0" xfId="0" applyFont="1" applyBorder="1" applyAlignment="1">
      <alignment horizontal="left" vertical="top" wrapText="1"/>
    </xf>
    <xf numFmtId="0" fontId="0" fillId="0" borderId="0" xfId="0" applyFont="1" applyAlignment="1">
      <alignment vertical="top" wrapText="1"/>
    </xf>
    <xf numFmtId="37" fontId="0" fillId="0" borderId="1" xfId="15" applyNumberFormat="1" applyBorder="1" applyAlignment="1">
      <alignment horizontal="right"/>
    </xf>
    <xf numFmtId="0" fontId="0" fillId="0" borderId="24" xfId="0" applyFont="1" applyBorder="1" applyAlignment="1">
      <alignment horizontal="center"/>
    </xf>
    <xf numFmtId="0" fontId="0" fillId="0" borderId="25" xfId="0" applyFont="1" applyBorder="1" applyAlignment="1">
      <alignment horizontal="center"/>
    </xf>
    <xf numFmtId="37" fontId="0" fillId="0" borderId="5" xfId="0" applyNumberFormat="1" applyBorder="1" applyAlignment="1">
      <alignment/>
    </xf>
    <xf numFmtId="37" fontId="0" fillId="0" borderId="5" xfId="0" applyNumberFormat="1" applyBorder="1" applyAlignment="1">
      <alignment horizontal="center"/>
    </xf>
    <xf numFmtId="0" fontId="0" fillId="0" borderId="5" xfId="0" applyBorder="1" applyAlignment="1">
      <alignment horizontal="center"/>
    </xf>
    <xf numFmtId="3" fontId="0" fillId="0" borderId="5" xfId="0" applyNumberFormat="1" applyBorder="1" applyAlignment="1">
      <alignment horizontal="center"/>
    </xf>
    <xf numFmtId="165" fontId="4" fillId="0" borderId="0" xfId="15" applyNumberFormat="1" applyFont="1" applyBorder="1" applyAlignment="1">
      <alignment horizontal="center"/>
    </xf>
    <xf numFmtId="172" fontId="7" fillId="0" borderId="0" xfId="0" applyNumberFormat="1" applyFont="1" applyAlignment="1">
      <alignment horizontal="center"/>
    </xf>
    <xf numFmtId="0" fontId="4" fillId="0" borderId="0" xfId="0" applyFont="1" applyAlignment="1">
      <alignment horizontal="justify"/>
    </xf>
    <xf numFmtId="0" fontId="22" fillId="0" borderId="0" xfId="0" applyFont="1" applyAlignment="1">
      <alignment/>
    </xf>
    <xf numFmtId="37" fontId="0" fillId="0" borderId="0" xfId="0" applyNumberFormat="1"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8</xdr:row>
      <xdr:rowOff>0</xdr:rowOff>
    </xdr:from>
    <xdr:to>
      <xdr:col>8</xdr:col>
      <xdr:colOff>495300</xdr:colOff>
      <xdr:row>8</xdr:row>
      <xdr:rowOff>0</xdr:rowOff>
    </xdr:to>
    <xdr:sp>
      <xdr:nvSpPr>
        <xdr:cNvPr id="1" name="Line 2"/>
        <xdr:cNvSpPr>
          <a:spLocks/>
        </xdr:cNvSpPr>
      </xdr:nvSpPr>
      <xdr:spPr>
        <a:xfrm>
          <a:off x="3295650" y="1400175"/>
          <a:ext cx="8191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127</xdr:row>
      <xdr:rowOff>0</xdr:rowOff>
    </xdr:from>
    <xdr:to>
      <xdr:col>8</xdr:col>
      <xdr:colOff>457200</xdr:colOff>
      <xdr:row>127</xdr:row>
      <xdr:rowOff>0</xdr:rowOff>
    </xdr:to>
    <xdr:sp>
      <xdr:nvSpPr>
        <xdr:cNvPr id="2" name="Line 3"/>
        <xdr:cNvSpPr>
          <a:spLocks/>
        </xdr:cNvSpPr>
      </xdr:nvSpPr>
      <xdr:spPr>
        <a:xfrm>
          <a:off x="3314700" y="19631025"/>
          <a:ext cx="7620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127</xdr:row>
      <xdr:rowOff>0</xdr:rowOff>
    </xdr:from>
    <xdr:to>
      <xdr:col>10</xdr:col>
      <xdr:colOff>304800</xdr:colOff>
      <xdr:row>127</xdr:row>
      <xdr:rowOff>0</xdr:rowOff>
    </xdr:to>
    <xdr:sp>
      <xdr:nvSpPr>
        <xdr:cNvPr id="3" name="Line 4"/>
        <xdr:cNvSpPr>
          <a:spLocks/>
        </xdr:cNvSpPr>
      </xdr:nvSpPr>
      <xdr:spPr>
        <a:xfrm>
          <a:off x="4352925" y="19631025"/>
          <a:ext cx="7620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8</xdr:row>
      <xdr:rowOff>9525</xdr:rowOff>
    </xdr:from>
    <xdr:to>
      <xdr:col>11</xdr:col>
      <xdr:colOff>390525</xdr:colOff>
      <xdr:row>8</xdr:row>
      <xdr:rowOff>9525</xdr:rowOff>
    </xdr:to>
    <xdr:sp>
      <xdr:nvSpPr>
        <xdr:cNvPr id="4" name="Line 7"/>
        <xdr:cNvSpPr>
          <a:spLocks/>
        </xdr:cNvSpPr>
      </xdr:nvSpPr>
      <xdr:spPr>
        <a:xfrm>
          <a:off x="4953000" y="1409700"/>
          <a:ext cx="695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c150\drivec\My%20Documents\MBMR\QTR%20Report\Con%20P&amp;LB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c166\c\My%20Documents\MBMR\FinReport\Daihatsu-dec199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ec166\c\My%20Documents\MBMR\FinReport\MBMResources-Unaudit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MBMR-1999Za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
      <sheetName val="FS"/>
      <sheetName val="Notes"/>
      <sheetName val="F-22"/>
      <sheetName val="DMSB"/>
      <sheetName val="MBMA"/>
      <sheetName val="MBMI"/>
      <sheetName val="AS"/>
      <sheetName val="CMC&amp;Perry"/>
    </sheetNames>
    <sheetDataSet>
      <sheetData sheetId="1">
        <row r="17">
          <cell r="H17">
            <v>25837335.81739755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sheetName val="Notes"/>
      <sheetName val="P&amp;L"/>
      <sheetName val="F-8"/>
      <sheetName val="F-22"/>
    </sheetNames>
    <sheetDataSet>
      <sheetData sheetId="1">
        <row r="54">
          <cell r="B54">
            <v>0</v>
          </cell>
          <cell r="C54">
            <v>0</v>
          </cell>
          <cell r="D54">
            <v>0</v>
          </cell>
        </row>
        <row r="68">
          <cell r="E6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1,2,3"/>
      <sheetName val="Segmental"/>
      <sheetName val="Notes"/>
      <sheetName val="Sheet1"/>
      <sheetName val="DMSB"/>
      <sheetName val="MBMI"/>
      <sheetName val="AS"/>
      <sheetName val="CMC"/>
    </sheetNames>
    <sheetDataSet>
      <sheetData sheetId="2">
        <row r="15">
          <cell r="D15">
            <v>0</v>
          </cell>
        </row>
        <row r="26">
          <cell r="D26">
            <v>0</v>
          </cell>
        </row>
        <row r="28">
          <cell r="B28">
            <v>0</v>
          </cell>
          <cell r="D28">
            <v>0</v>
          </cell>
          <cell r="E28">
            <v>0</v>
          </cell>
          <cell r="H28">
            <v>0</v>
          </cell>
        </row>
        <row r="34">
          <cell r="D34">
            <v>0</v>
          </cell>
          <cell r="E34">
            <v>0</v>
          </cell>
          <cell r="H34">
            <v>0</v>
          </cell>
        </row>
        <row r="43">
          <cell r="D43">
            <v>0</v>
          </cell>
          <cell r="E43">
            <v>0</v>
          </cell>
          <cell r="H43">
            <v>0</v>
          </cell>
        </row>
        <row r="55">
          <cell r="D55">
            <v>0</v>
          </cell>
        </row>
        <row r="67">
          <cell r="B67">
            <v>0</v>
          </cell>
          <cell r="D67">
            <v>0</v>
          </cell>
          <cell r="H67">
            <v>0</v>
          </cell>
        </row>
        <row r="80">
          <cell r="D80">
            <v>0</v>
          </cell>
          <cell r="E80">
            <v>0</v>
          </cell>
          <cell r="G80">
            <v>0</v>
          </cell>
          <cell r="H80">
            <v>0</v>
          </cell>
        </row>
      </sheetData>
      <sheetData sheetId="4">
        <row r="2">
          <cell r="A2" t="str">
            <v>Consolidation entries for the year ended 31 December 1999</v>
          </cell>
        </row>
        <row r="58">
          <cell r="D58">
            <v>7150000</v>
          </cell>
        </row>
      </sheetData>
      <sheetData sheetId="5">
        <row r="54">
          <cell r="E54">
            <v>0</v>
          </cell>
        </row>
        <row r="60">
          <cell r="D60">
            <v>0</v>
          </cell>
        </row>
        <row r="62">
          <cell r="E62">
            <v>0</v>
          </cell>
        </row>
      </sheetData>
      <sheetData sheetId="6">
        <row r="24">
          <cell r="D24">
            <v>1500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F-1,2,3"/>
      <sheetName val="C-4(DMSB)"/>
      <sheetName val="C-4(MBMI)"/>
      <sheetName val="C-4(AS)"/>
      <sheetName val="C-4(CMC)"/>
    </sheetNames>
    <sheetDataSet>
      <sheetData sheetId="1">
        <row r="2">
          <cell r="A2" t="str">
            <v>Consolidation entries for the year ended 31 December 1999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303"/>
  <sheetViews>
    <sheetView tabSelected="1" zoomScale="75" zoomScaleNormal="75" workbookViewId="0" topLeftCell="A1">
      <selection activeCell="A13" sqref="A13"/>
    </sheetView>
  </sheetViews>
  <sheetFormatPr defaultColWidth="9.140625" defaultRowHeight="12.75"/>
  <cols>
    <col min="1" max="1" width="3.140625" style="0" customWidth="1"/>
    <col min="2" max="2" width="3.28125" style="0" customWidth="1"/>
    <col min="3" max="3" width="6.7109375" style="0" customWidth="1"/>
    <col min="4" max="4" width="7.28125" style="0" customWidth="1"/>
    <col min="5" max="5" width="14.7109375" style="0" customWidth="1"/>
    <col min="6" max="6" width="7.00390625" style="0" customWidth="1"/>
    <col min="7" max="7" width="5.421875" style="0" customWidth="1"/>
    <col min="8" max="8" width="6.7109375" style="0" customWidth="1"/>
    <col min="9" max="9" width="8.8515625" style="0" customWidth="1"/>
    <col min="10" max="10" width="9.00390625" style="0" customWidth="1"/>
    <col min="11" max="11" width="6.7109375" style="0" customWidth="1"/>
    <col min="12" max="17" width="8.57421875" style="0" customWidth="1"/>
    <col min="18" max="18" width="14.28125" style="0" customWidth="1"/>
    <col min="19" max="19" width="6.421875" style="0" customWidth="1"/>
    <col min="20" max="20" width="10.8515625" style="0" customWidth="1"/>
    <col min="21" max="21" width="9.8515625" style="0" bestFit="1" customWidth="1"/>
    <col min="22" max="22" width="15.00390625" style="0" customWidth="1"/>
    <col min="23" max="23" width="9.8515625" style="0" bestFit="1" customWidth="1"/>
    <col min="24" max="24" width="10.140625" style="0" bestFit="1" customWidth="1"/>
    <col min="25" max="25" width="16.421875" style="0" customWidth="1"/>
    <col min="26" max="26" width="9.00390625" style="0" customWidth="1"/>
  </cols>
  <sheetData>
    <row r="1" ht="18">
      <c r="A1" s="549" t="s">
        <v>115</v>
      </c>
    </row>
    <row r="3" ht="15.75">
      <c r="A3" s="13" t="s">
        <v>0</v>
      </c>
    </row>
    <row r="4" spans="1:18" ht="12.75">
      <c r="A4" s="524" t="s">
        <v>582</v>
      </c>
      <c r="B4" s="524"/>
      <c r="C4" s="524"/>
      <c r="D4" s="524"/>
      <c r="E4" s="524"/>
      <c r="F4" s="524"/>
      <c r="G4" s="524"/>
      <c r="H4" s="524"/>
      <c r="I4" s="524"/>
      <c r="J4" s="524"/>
      <c r="K4" s="524"/>
      <c r="L4" s="524"/>
      <c r="M4" s="524"/>
      <c r="N4" s="524"/>
      <c r="O4" s="524"/>
      <c r="P4" s="524"/>
      <c r="Q4" s="524"/>
      <c r="R4" s="524"/>
    </row>
    <row r="5" spans="1:18" ht="12.75">
      <c r="A5" s="14"/>
      <c r="B5" s="14"/>
      <c r="C5" s="14"/>
      <c r="D5" s="14"/>
      <c r="E5" s="14"/>
      <c r="F5" s="14"/>
      <c r="G5" s="14"/>
      <c r="H5" s="14"/>
      <c r="I5" s="14"/>
      <c r="J5" s="14"/>
      <c r="K5" s="14"/>
      <c r="L5" s="14"/>
      <c r="M5" s="14"/>
      <c r="N5" s="14"/>
      <c r="O5" s="14"/>
      <c r="P5" s="14"/>
      <c r="Q5" s="14"/>
      <c r="R5" s="14"/>
    </row>
    <row r="6" spans="1:9" ht="12.75">
      <c r="A6" s="411" t="s">
        <v>126</v>
      </c>
      <c r="B6" s="410"/>
      <c r="C6" s="410"/>
      <c r="D6" s="410"/>
      <c r="E6" s="410"/>
      <c r="F6" s="410"/>
      <c r="G6" s="410"/>
      <c r="H6" s="410"/>
      <c r="I6" s="410"/>
    </row>
    <row r="7" spans="1:9" ht="12.75">
      <c r="A7" s="5"/>
      <c r="B7" s="1"/>
      <c r="C7" s="1"/>
      <c r="D7" s="1"/>
      <c r="E7" s="1"/>
      <c r="F7" s="1"/>
      <c r="G7" s="1"/>
      <c r="H7" s="1"/>
      <c r="I7" s="1"/>
    </row>
    <row r="8" spans="6:17" ht="12.75" customHeight="1">
      <c r="F8" s="383" t="s">
        <v>649</v>
      </c>
      <c r="G8" s="383"/>
      <c r="H8" s="416" t="s">
        <v>168</v>
      </c>
      <c r="I8" s="416"/>
      <c r="J8" s="360"/>
      <c r="K8" s="523" t="s">
        <v>170</v>
      </c>
      <c r="L8" s="523"/>
      <c r="M8" s="360"/>
      <c r="N8" s="360"/>
      <c r="O8" s="360"/>
      <c r="P8" s="360"/>
      <c r="Q8" s="360"/>
    </row>
    <row r="9" spans="8:21" ht="12.75" customHeight="1">
      <c r="H9" s="414" t="s">
        <v>165</v>
      </c>
      <c r="I9" s="414"/>
      <c r="K9" s="448" t="s">
        <v>165</v>
      </c>
      <c r="L9" s="448"/>
      <c r="M9" s="510"/>
      <c r="N9" s="510"/>
      <c r="O9" s="510"/>
      <c r="P9" s="510"/>
      <c r="Q9" s="510"/>
      <c r="T9" s="416" t="s">
        <v>164</v>
      </c>
      <c r="U9" s="416"/>
    </row>
    <row r="10" spans="8:21" ht="12.75" customHeight="1">
      <c r="H10" s="414" t="s">
        <v>166</v>
      </c>
      <c r="I10" s="414"/>
      <c r="K10" s="448" t="s">
        <v>166</v>
      </c>
      <c r="L10" s="448"/>
      <c r="M10" s="510"/>
      <c r="N10" s="510"/>
      <c r="O10" s="510"/>
      <c r="P10" s="510"/>
      <c r="Q10" s="510"/>
      <c r="T10" s="414" t="s">
        <v>166</v>
      </c>
      <c r="U10" s="414"/>
    </row>
    <row r="11" spans="8:21" ht="12.75">
      <c r="H11" s="414" t="s">
        <v>168</v>
      </c>
      <c r="I11" s="414"/>
      <c r="K11" s="448" t="s">
        <v>167</v>
      </c>
      <c r="L11" s="448"/>
      <c r="M11" s="510"/>
      <c r="N11" s="510"/>
      <c r="O11" s="510"/>
      <c r="P11" s="510"/>
      <c r="Q11" s="510"/>
      <c r="T11" s="414" t="s">
        <v>167</v>
      </c>
      <c r="U11" s="414"/>
    </row>
    <row r="12" spans="8:21" ht="12.75">
      <c r="H12" s="449" t="s">
        <v>578</v>
      </c>
      <c r="I12" s="449"/>
      <c r="K12" s="449" t="s">
        <v>578</v>
      </c>
      <c r="L12" s="449"/>
      <c r="M12" s="15"/>
      <c r="N12" s="15"/>
      <c r="O12" s="15"/>
      <c r="P12" s="15"/>
      <c r="Q12" s="15"/>
      <c r="T12" s="449" t="s">
        <v>148</v>
      </c>
      <c r="U12" s="449"/>
    </row>
    <row r="13" spans="11:17" ht="12.75">
      <c r="K13" s="2"/>
      <c r="L13" s="2"/>
      <c r="M13" s="2"/>
      <c r="N13" s="2"/>
      <c r="O13" s="2"/>
      <c r="P13" s="2"/>
      <c r="Q13" s="2"/>
    </row>
    <row r="14" spans="1:21" ht="12.75">
      <c r="A14" s="24" t="s">
        <v>128</v>
      </c>
      <c r="B14" t="s">
        <v>2</v>
      </c>
      <c r="C14" s="410" t="s">
        <v>3</v>
      </c>
      <c r="D14" s="410"/>
      <c r="E14" s="410"/>
      <c r="H14" s="515">
        <f>+QTR!M6</f>
        <v>116026</v>
      </c>
      <c r="I14" s="515"/>
      <c r="K14" s="515">
        <f>+QTR!M6</f>
        <v>116026</v>
      </c>
      <c r="L14" s="515"/>
      <c r="M14" s="7"/>
      <c r="N14" s="7"/>
      <c r="O14" s="7"/>
      <c r="P14" s="7"/>
      <c r="Q14" s="7"/>
      <c r="T14" s="515">
        <f>+QTR!K6</f>
        <v>455286</v>
      </c>
      <c r="U14" s="515"/>
    </row>
    <row r="15" spans="1:21" ht="12.75">
      <c r="A15" s="25"/>
      <c r="B15" t="s">
        <v>4</v>
      </c>
      <c r="C15" s="410" t="s">
        <v>5</v>
      </c>
      <c r="D15" s="410"/>
      <c r="E15" s="410"/>
      <c r="H15" s="515">
        <f>+QTR!M8</f>
        <v>1271</v>
      </c>
      <c r="I15" s="515"/>
      <c r="K15" s="515">
        <f>+QTR!M8</f>
        <v>1271</v>
      </c>
      <c r="L15" s="515"/>
      <c r="M15" s="7"/>
      <c r="N15" s="7"/>
      <c r="O15" s="7"/>
      <c r="P15" s="7"/>
      <c r="Q15" s="7"/>
      <c r="T15" s="515">
        <f>+QTR!K8</f>
        <v>2361</v>
      </c>
      <c r="U15" s="515"/>
    </row>
    <row r="16" spans="1:21" ht="12.75" customHeight="1">
      <c r="A16" s="25"/>
      <c r="B16" t="s">
        <v>7</v>
      </c>
      <c r="C16" s="410" t="s">
        <v>8</v>
      </c>
      <c r="D16" s="410"/>
      <c r="E16" s="410"/>
      <c r="H16" s="515">
        <f>+QTR!M9</f>
        <v>43</v>
      </c>
      <c r="I16" s="515"/>
      <c r="K16" s="515">
        <f>+QTR!M9</f>
        <v>43</v>
      </c>
      <c r="L16" s="515"/>
      <c r="M16" s="7"/>
      <c r="N16" s="7"/>
      <c r="O16" s="7"/>
      <c r="P16" s="7"/>
      <c r="Q16" s="7"/>
      <c r="T16" s="515">
        <f>+QTR!K9</f>
        <v>3328</v>
      </c>
      <c r="U16" s="515"/>
    </row>
    <row r="17" spans="1:21" ht="12.75">
      <c r="A17" s="25"/>
      <c r="C17" s="410"/>
      <c r="D17" s="410"/>
      <c r="E17" s="410"/>
      <c r="H17" s="515"/>
      <c r="I17" s="515"/>
      <c r="K17" s="515"/>
      <c r="L17" s="515"/>
      <c r="M17" s="7"/>
      <c r="N17" s="7"/>
      <c r="O17" s="7"/>
      <c r="P17" s="7"/>
      <c r="Q17" s="7"/>
      <c r="T17" s="515"/>
      <c r="U17" s="515"/>
    </row>
    <row r="18" spans="1:21" ht="12.75">
      <c r="A18" s="24" t="s">
        <v>129</v>
      </c>
      <c r="B18" t="s">
        <v>2</v>
      </c>
      <c r="C18" s="410" t="s">
        <v>9</v>
      </c>
      <c r="D18" s="410"/>
      <c r="E18" s="410"/>
      <c r="H18" s="515">
        <f>+QTR!M11</f>
        <v>10282</v>
      </c>
      <c r="I18" s="515"/>
      <c r="K18" s="513">
        <f>+QTR!M11</f>
        <v>10282</v>
      </c>
      <c r="L18" s="513"/>
      <c r="M18" s="511"/>
      <c r="N18" s="511"/>
      <c r="O18" s="511"/>
      <c r="P18" s="511"/>
      <c r="Q18" s="511"/>
      <c r="T18" s="515">
        <f>+QTR!K11</f>
        <v>36997</v>
      </c>
      <c r="U18" s="515"/>
    </row>
    <row r="19" spans="1:21" ht="12.75">
      <c r="A19" s="25"/>
      <c r="C19" s="410"/>
      <c r="D19" s="410"/>
      <c r="E19" s="410"/>
      <c r="H19" s="515"/>
      <c r="I19" s="515"/>
      <c r="K19" s="513"/>
      <c r="L19" s="513"/>
      <c r="M19" s="511"/>
      <c r="N19" s="511"/>
      <c r="O19" s="511"/>
      <c r="P19" s="511"/>
      <c r="Q19" s="511"/>
      <c r="T19" s="515"/>
      <c r="U19" s="515"/>
    </row>
    <row r="20" spans="1:21" ht="12.75">
      <c r="A20" s="25"/>
      <c r="C20" s="410"/>
      <c r="D20" s="410"/>
      <c r="E20" s="410"/>
      <c r="H20" s="515"/>
      <c r="I20" s="515"/>
      <c r="K20" s="513"/>
      <c r="L20" s="513"/>
      <c r="M20" s="511"/>
      <c r="N20" s="511"/>
      <c r="O20" s="511"/>
      <c r="P20" s="511"/>
      <c r="Q20" s="511"/>
      <c r="T20" s="515"/>
      <c r="U20" s="515"/>
    </row>
    <row r="21" spans="1:21" ht="12.75">
      <c r="A21" s="25"/>
      <c r="C21" s="410"/>
      <c r="D21" s="410"/>
      <c r="E21" s="410"/>
      <c r="H21" s="515"/>
      <c r="I21" s="515"/>
      <c r="K21" s="513"/>
      <c r="L21" s="513"/>
      <c r="M21" s="511"/>
      <c r="N21" s="511"/>
      <c r="O21" s="511"/>
      <c r="P21" s="511"/>
      <c r="Q21" s="511"/>
      <c r="T21" s="515"/>
      <c r="U21" s="515"/>
    </row>
    <row r="22" spans="1:21" ht="12.75">
      <c r="A22" s="25"/>
      <c r="C22" s="410"/>
      <c r="D22" s="410"/>
      <c r="E22" s="410"/>
      <c r="H22" s="515"/>
      <c r="I22" s="515"/>
      <c r="K22" s="513"/>
      <c r="L22" s="513"/>
      <c r="M22" s="511"/>
      <c r="N22" s="511"/>
      <c r="O22" s="511"/>
      <c r="P22" s="511"/>
      <c r="Q22" s="511"/>
      <c r="T22" s="515"/>
      <c r="U22" s="515"/>
    </row>
    <row r="23" spans="1:21" ht="12.75">
      <c r="A23" s="25"/>
      <c r="C23" s="410"/>
      <c r="D23" s="410"/>
      <c r="E23" s="410"/>
      <c r="H23" s="515"/>
      <c r="I23" s="515"/>
      <c r="K23" s="513"/>
      <c r="L23" s="513"/>
      <c r="M23" s="511"/>
      <c r="N23" s="511"/>
      <c r="O23" s="511"/>
      <c r="P23" s="511"/>
      <c r="Q23" s="511"/>
      <c r="T23" s="515"/>
      <c r="U23" s="515"/>
    </row>
    <row r="24" spans="1:21" ht="12.75">
      <c r="A24" s="25"/>
      <c r="B24" t="s">
        <v>4</v>
      </c>
      <c r="C24" s="410" t="s">
        <v>10</v>
      </c>
      <c r="D24" s="410"/>
      <c r="E24" s="410"/>
      <c r="H24" s="515">
        <f>+QTR!M14</f>
        <v>-1785</v>
      </c>
      <c r="I24" s="515"/>
      <c r="K24" s="515">
        <f>+QTR!M14</f>
        <v>-1785</v>
      </c>
      <c r="L24" s="515"/>
      <c r="M24" s="7"/>
      <c r="N24" s="7"/>
      <c r="O24" s="7"/>
      <c r="P24" s="7"/>
      <c r="Q24" s="7"/>
      <c r="T24" s="515">
        <f>+QTR!K14</f>
        <v>-6012</v>
      </c>
      <c r="U24" s="515"/>
    </row>
    <row r="25" spans="1:21" ht="12.75">
      <c r="A25" s="25"/>
      <c r="B25" t="s">
        <v>7</v>
      </c>
      <c r="C25" s="410" t="s">
        <v>11</v>
      </c>
      <c r="D25" s="410"/>
      <c r="E25" s="410"/>
      <c r="H25" s="515">
        <f>+QTR!M15</f>
        <v>-622</v>
      </c>
      <c r="I25" s="515"/>
      <c r="K25" s="513">
        <f>+QTR!M15</f>
        <v>-622</v>
      </c>
      <c r="L25" s="513"/>
      <c r="M25" s="511"/>
      <c r="N25" s="511"/>
      <c r="O25" s="511"/>
      <c r="P25" s="511"/>
      <c r="Q25" s="511"/>
      <c r="T25" s="515">
        <f>+QTR!K15</f>
        <v>-2910</v>
      </c>
      <c r="U25" s="515"/>
    </row>
    <row r="26" spans="1:21" ht="12.75">
      <c r="A26" s="25"/>
      <c r="B26" t="s">
        <v>12</v>
      </c>
      <c r="C26" s="409" t="s">
        <v>13</v>
      </c>
      <c r="D26" s="409"/>
      <c r="E26" s="409"/>
      <c r="H26" s="512" t="s">
        <v>6</v>
      </c>
      <c r="I26" s="512"/>
      <c r="K26" s="512" t="s">
        <v>6</v>
      </c>
      <c r="L26" s="512"/>
      <c r="M26" s="9"/>
      <c r="N26" s="9"/>
      <c r="O26" s="9"/>
      <c r="P26" s="9"/>
      <c r="Q26" s="9"/>
      <c r="T26" s="512" t="s">
        <v>6</v>
      </c>
      <c r="U26" s="512"/>
    </row>
    <row r="27" spans="1:21" ht="12.75">
      <c r="A27" s="25"/>
      <c r="B27" t="s">
        <v>14</v>
      </c>
      <c r="C27" s="410" t="s">
        <v>15</v>
      </c>
      <c r="D27" s="410"/>
      <c r="E27" s="410"/>
      <c r="H27" s="515">
        <f>+QTR!M19</f>
        <v>7874</v>
      </c>
      <c r="I27" s="515"/>
      <c r="K27" s="515">
        <f>+QTR!M19</f>
        <v>7874</v>
      </c>
      <c r="L27" s="515"/>
      <c r="M27" s="7"/>
      <c r="N27" s="7"/>
      <c r="O27" s="7"/>
      <c r="P27" s="7"/>
      <c r="Q27" s="7"/>
      <c r="T27" s="515">
        <f>+QTR!K19</f>
        <v>28075</v>
      </c>
      <c r="U27" s="515"/>
    </row>
    <row r="28" spans="1:21" ht="12.75">
      <c r="A28" s="25"/>
      <c r="C28" s="410"/>
      <c r="D28" s="410"/>
      <c r="E28" s="410"/>
      <c r="H28" s="515"/>
      <c r="I28" s="515"/>
      <c r="K28" s="515"/>
      <c r="L28" s="515"/>
      <c r="M28" s="7"/>
      <c r="N28" s="7"/>
      <c r="O28" s="7"/>
      <c r="P28" s="7"/>
      <c r="Q28" s="7"/>
      <c r="T28" s="515"/>
      <c r="U28" s="515"/>
    </row>
    <row r="29" spans="1:21" ht="12.75">
      <c r="A29" s="25"/>
      <c r="C29" s="410"/>
      <c r="D29" s="410"/>
      <c r="E29" s="410"/>
      <c r="H29" s="515"/>
      <c r="I29" s="515"/>
      <c r="K29" s="515"/>
      <c r="L29" s="515"/>
      <c r="M29" s="7"/>
      <c r="N29" s="7"/>
      <c r="O29" s="7"/>
      <c r="P29" s="7"/>
      <c r="Q29" s="7"/>
      <c r="T29" s="515"/>
      <c r="U29" s="515"/>
    </row>
    <row r="30" spans="1:21" ht="12.75">
      <c r="A30" s="25"/>
      <c r="C30" s="410"/>
      <c r="D30" s="410"/>
      <c r="E30" s="410"/>
      <c r="H30" s="515"/>
      <c r="I30" s="515"/>
      <c r="K30" s="515"/>
      <c r="L30" s="515"/>
      <c r="M30" s="7"/>
      <c r="N30" s="7"/>
      <c r="O30" s="7"/>
      <c r="P30" s="7"/>
      <c r="Q30" s="7"/>
      <c r="T30" s="515"/>
      <c r="U30" s="515"/>
    </row>
    <row r="31" spans="1:21" ht="12.75">
      <c r="A31" s="25"/>
      <c r="C31" s="410"/>
      <c r="D31" s="410"/>
      <c r="E31" s="410"/>
      <c r="H31" s="515"/>
      <c r="I31" s="515"/>
      <c r="K31" s="515"/>
      <c r="L31" s="515"/>
      <c r="M31" s="7"/>
      <c r="N31" s="7"/>
      <c r="O31" s="7"/>
      <c r="P31" s="7"/>
      <c r="Q31" s="7"/>
      <c r="T31" s="515"/>
      <c r="U31" s="515"/>
    </row>
    <row r="32" spans="1:21" ht="12.75">
      <c r="A32" s="25"/>
      <c r="C32" s="410"/>
      <c r="D32" s="410"/>
      <c r="E32" s="410"/>
      <c r="H32" s="515"/>
      <c r="I32" s="515"/>
      <c r="K32" s="515"/>
      <c r="L32" s="515"/>
      <c r="M32" s="7"/>
      <c r="N32" s="7"/>
      <c r="O32" s="7"/>
      <c r="P32" s="7"/>
      <c r="Q32" s="7"/>
      <c r="T32" s="515"/>
      <c r="U32" s="515"/>
    </row>
    <row r="33" spans="1:21" ht="12.75">
      <c r="A33" s="25"/>
      <c r="B33" t="s">
        <v>16</v>
      </c>
      <c r="C33" s="410" t="s">
        <v>17</v>
      </c>
      <c r="D33" s="410"/>
      <c r="E33" s="410"/>
      <c r="H33" s="515">
        <f>+QTR!M20</f>
        <v>1136</v>
      </c>
      <c r="I33" s="515"/>
      <c r="K33" s="513">
        <f>+QTR!M20</f>
        <v>1136</v>
      </c>
      <c r="L33" s="513"/>
      <c r="M33" s="511"/>
      <c r="N33" s="511"/>
      <c r="O33" s="511"/>
      <c r="P33" s="511"/>
      <c r="Q33" s="511"/>
      <c r="T33" s="515">
        <f>+QTR!K20</f>
        <v>5443</v>
      </c>
      <c r="U33" s="515"/>
    </row>
    <row r="34" spans="1:21" ht="12.75">
      <c r="A34" s="25"/>
      <c r="C34" s="410"/>
      <c r="D34" s="410"/>
      <c r="E34" s="410"/>
      <c r="H34" s="515"/>
      <c r="I34" s="515"/>
      <c r="K34" s="513"/>
      <c r="L34" s="513"/>
      <c r="M34" s="511"/>
      <c r="N34" s="511"/>
      <c r="O34" s="511"/>
      <c r="P34" s="511"/>
      <c r="Q34" s="511"/>
      <c r="T34" s="515"/>
      <c r="U34" s="515"/>
    </row>
    <row r="35" spans="1:21" ht="12.75">
      <c r="A35" s="25"/>
      <c r="B35" t="s">
        <v>18</v>
      </c>
      <c r="C35" s="410" t="s">
        <v>19</v>
      </c>
      <c r="D35" s="410"/>
      <c r="E35" s="410"/>
      <c r="H35" s="515">
        <f>+QTR!M21</f>
        <v>9010</v>
      </c>
      <c r="I35" s="515"/>
      <c r="K35" s="515">
        <f>+QTR!M21</f>
        <v>9010</v>
      </c>
      <c r="L35" s="515"/>
      <c r="M35" s="7"/>
      <c r="N35" s="7"/>
      <c r="O35" s="7"/>
      <c r="P35" s="7"/>
      <c r="Q35" s="7"/>
      <c r="T35" s="515">
        <f>SUM(T27:U34)</f>
        <v>33518</v>
      </c>
      <c r="U35" s="515"/>
    </row>
    <row r="36" spans="1:21" ht="12.75">
      <c r="A36" s="25"/>
      <c r="C36" s="410"/>
      <c r="D36" s="410"/>
      <c r="E36" s="410"/>
      <c r="H36" s="515"/>
      <c r="I36" s="515"/>
      <c r="K36" s="515"/>
      <c r="L36" s="515"/>
      <c r="M36" s="7"/>
      <c r="N36" s="7"/>
      <c r="O36" s="7"/>
      <c r="P36" s="7"/>
      <c r="Q36" s="7"/>
      <c r="T36" s="515"/>
      <c r="U36" s="515"/>
    </row>
    <row r="37" spans="1:21" ht="12.75">
      <c r="A37" s="25"/>
      <c r="C37" s="410"/>
      <c r="D37" s="410"/>
      <c r="E37" s="410"/>
      <c r="H37" s="515"/>
      <c r="I37" s="515"/>
      <c r="K37" s="515"/>
      <c r="L37" s="515"/>
      <c r="M37" s="7"/>
      <c r="N37" s="7"/>
      <c r="O37" s="7"/>
      <c r="P37" s="7"/>
      <c r="Q37" s="7"/>
      <c r="T37" s="515"/>
      <c r="U37" s="515"/>
    </row>
    <row r="38" spans="1:21" ht="12.75">
      <c r="A38" s="25"/>
      <c r="B38" t="s">
        <v>20</v>
      </c>
      <c r="C38" s="410" t="s">
        <v>21</v>
      </c>
      <c r="D38" s="410"/>
      <c r="E38" s="410"/>
      <c r="H38" s="515">
        <f>+QTR!M24+QTR!M23</f>
        <v>-2777</v>
      </c>
      <c r="I38" s="515"/>
      <c r="K38" s="513">
        <f>+QTR!M24+QTR!M23</f>
        <v>-2777</v>
      </c>
      <c r="L38" s="513"/>
      <c r="M38" s="511"/>
      <c r="N38" s="511"/>
      <c r="O38" s="511"/>
      <c r="P38" s="511"/>
      <c r="Q38" s="511"/>
      <c r="T38" s="515">
        <f>+QTR!K24</f>
        <v>-1627</v>
      </c>
      <c r="U38" s="515"/>
    </row>
    <row r="39" spans="1:21" ht="12.75">
      <c r="A39" s="25"/>
      <c r="B39" t="s">
        <v>22</v>
      </c>
      <c r="C39" s="410" t="s">
        <v>23</v>
      </c>
      <c r="D39" s="410"/>
      <c r="E39" s="410"/>
      <c r="H39" s="515">
        <f>+QTR!M26</f>
        <v>6233</v>
      </c>
      <c r="I39" s="515"/>
      <c r="K39" s="513">
        <f>+QTR!M26</f>
        <v>6233</v>
      </c>
      <c r="L39" s="513"/>
      <c r="M39" s="511"/>
      <c r="N39" s="511"/>
      <c r="O39" s="511"/>
      <c r="P39" s="511"/>
      <c r="Q39" s="511"/>
      <c r="T39" s="515">
        <f>+QTR!K26</f>
        <v>31891</v>
      </c>
      <c r="U39" s="515"/>
    </row>
    <row r="40" spans="1:21" ht="12.75">
      <c r="A40" s="25"/>
      <c r="C40" s="410"/>
      <c r="D40" s="410"/>
      <c r="E40" s="410"/>
      <c r="H40" s="515"/>
      <c r="I40" s="515"/>
      <c r="K40" s="513"/>
      <c r="L40" s="513"/>
      <c r="M40" s="511"/>
      <c r="N40" s="511"/>
      <c r="O40" s="511"/>
      <c r="P40" s="511"/>
      <c r="Q40" s="511"/>
      <c r="T40" s="515"/>
      <c r="U40" s="515"/>
    </row>
    <row r="41" spans="1:21" ht="12.75">
      <c r="A41" s="25"/>
      <c r="C41" s="410" t="s">
        <v>24</v>
      </c>
      <c r="D41" s="410"/>
      <c r="E41" s="410"/>
      <c r="H41" s="515">
        <f>+QTR!M27</f>
        <v>-1690</v>
      </c>
      <c r="I41" s="515"/>
      <c r="K41" s="513">
        <f>+QTR!M27</f>
        <v>-1690</v>
      </c>
      <c r="L41" s="513"/>
      <c r="M41" s="511"/>
      <c r="N41" s="511"/>
      <c r="O41" s="511"/>
      <c r="P41" s="511"/>
      <c r="Q41" s="511"/>
      <c r="T41" s="515">
        <f>+QTR!K27</f>
        <v>-8384</v>
      </c>
      <c r="U41" s="515"/>
    </row>
    <row r="42" spans="1:21" ht="12.75">
      <c r="A42" s="25"/>
      <c r="B42" t="s">
        <v>25</v>
      </c>
      <c r="C42" s="410" t="s">
        <v>26</v>
      </c>
      <c r="D42" s="410"/>
      <c r="E42" s="410"/>
      <c r="H42" s="515">
        <f>+QTR!M28</f>
        <v>4543</v>
      </c>
      <c r="I42" s="515"/>
      <c r="K42" s="515">
        <f>+QTR!M28</f>
        <v>4543</v>
      </c>
      <c r="L42" s="515"/>
      <c r="M42" s="7"/>
      <c r="N42" s="7"/>
      <c r="O42" s="7"/>
      <c r="P42" s="7"/>
      <c r="Q42" s="7"/>
      <c r="T42" s="515">
        <f>+QTR!K28</f>
        <v>23507</v>
      </c>
      <c r="U42" s="515"/>
    </row>
    <row r="43" spans="1:21" ht="12.75">
      <c r="A43" s="25"/>
      <c r="C43" s="410"/>
      <c r="D43" s="410"/>
      <c r="E43" s="410"/>
      <c r="H43" s="515"/>
      <c r="I43" s="515"/>
      <c r="K43" s="515"/>
      <c r="L43" s="515"/>
      <c r="M43" s="7"/>
      <c r="N43" s="7"/>
      <c r="O43" s="7"/>
      <c r="P43" s="7"/>
      <c r="Q43" s="7"/>
      <c r="T43" s="515"/>
      <c r="U43" s="515"/>
    </row>
    <row r="44" spans="1:21" ht="12.75">
      <c r="A44" s="25"/>
      <c r="C44" s="410"/>
      <c r="D44" s="410"/>
      <c r="E44" s="410"/>
      <c r="H44" s="515"/>
      <c r="I44" s="515"/>
      <c r="K44" s="515"/>
      <c r="L44" s="515"/>
      <c r="M44" s="7"/>
      <c r="N44" s="7"/>
      <c r="O44" s="7"/>
      <c r="P44" s="7"/>
      <c r="Q44" s="7"/>
      <c r="T44" s="515"/>
      <c r="U44" s="515"/>
    </row>
    <row r="45" spans="1:21" ht="12.75">
      <c r="A45" s="25"/>
      <c r="B45" t="s">
        <v>27</v>
      </c>
      <c r="C45" s="410" t="s">
        <v>28</v>
      </c>
      <c r="D45" s="410"/>
      <c r="E45" s="410"/>
      <c r="H45" s="512" t="s">
        <v>6</v>
      </c>
      <c r="I45" s="512"/>
      <c r="K45" s="512" t="s">
        <v>6</v>
      </c>
      <c r="L45" s="512"/>
      <c r="M45" s="9"/>
      <c r="N45" s="9"/>
      <c r="O45" s="9"/>
      <c r="P45" s="9"/>
      <c r="Q45" s="9"/>
      <c r="T45" s="512" t="s">
        <v>6</v>
      </c>
      <c r="U45" s="512"/>
    </row>
    <row r="46" spans="1:21" ht="12.75">
      <c r="A46" s="25"/>
      <c r="C46" s="410" t="s">
        <v>24</v>
      </c>
      <c r="D46" s="410"/>
      <c r="E46" s="410"/>
      <c r="H46" s="512" t="s">
        <v>6</v>
      </c>
      <c r="I46" s="512"/>
      <c r="K46" s="512" t="s">
        <v>6</v>
      </c>
      <c r="L46" s="512"/>
      <c r="M46" s="9"/>
      <c r="N46" s="9"/>
      <c r="O46" s="9"/>
      <c r="P46" s="9"/>
      <c r="Q46" s="9"/>
      <c r="T46" s="512" t="s">
        <v>6</v>
      </c>
      <c r="U46" s="512"/>
    </row>
    <row r="47" spans="1:21" ht="12.75">
      <c r="A47" s="25"/>
      <c r="C47" s="410" t="s">
        <v>29</v>
      </c>
      <c r="D47" s="410"/>
      <c r="E47" s="410"/>
      <c r="H47" s="512" t="s">
        <v>6</v>
      </c>
      <c r="I47" s="512"/>
      <c r="K47" s="512" t="s">
        <v>6</v>
      </c>
      <c r="L47" s="512"/>
      <c r="M47" s="9"/>
      <c r="N47" s="9"/>
      <c r="O47" s="9"/>
      <c r="P47" s="9"/>
      <c r="Q47" s="9"/>
      <c r="T47" s="512" t="s">
        <v>6</v>
      </c>
      <c r="U47" s="512"/>
    </row>
    <row r="48" spans="1:21" ht="12.75">
      <c r="A48" s="25"/>
      <c r="B48" t="s">
        <v>30</v>
      </c>
      <c r="C48" s="410" t="s">
        <v>31</v>
      </c>
      <c r="D48" s="410"/>
      <c r="E48" s="410"/>
      <c r="H48" s="515">
        <f>+QTR!M33</f>
        <v>4543</v>
      </c>
      <c r="I48" s="515"/>
      <c r="K48" s="513">
        <f>+QTR!M33</f>
        <v>4543</v>
      </c>
      <c r="L48" s="513"/>
      <c r="M48" s="511"/>
      <c r="N48" s="511"/>
      <c r="O48" s="511"/>
      <c r="P48" s="511"/>
      <c r="Q48" s="511"/>
      <c r="T48" s="515">
        <f>+T42</f>
        <v>23507</v>
      </c>
      <c r="U48" s="515"/>
    </row>
    <row r="49" spans="1:21" ht="12.75">
      <c r="A49" s="25"/>
      <c r="C49" s="410"/>
      <c r="D49" s="410"/>
      <c r="E49" s="410"/>
      <c r="H49" s="515"/>
      <c r="I49" s="515"/>
      <c r="K49" s="513"/>
      <c r="L49" s="513"/>
      <c r="M49" s="511"/>
      <c r="N49" s="511"/>
      <c r="O49" s="511"/>
      <c r="P49" s="511"/>
      <c r="Q49" s="511"/>
      <c r="T49" s="515"/>
      <c r="U49" s="515"/>
    </row>
    <row r="50" spans="1:21" ht="12.75">
      <c r="A50" s="25"/>
      <c r="C50" s="410"/>
      <c r="D50" s="410"/>
      <c r="E50" s="410"/>
      <c r="H50" s="515"/>
      <c r="I50" s="515"/>
      <c r="K50" s="513"/>
      <c r="L50" s="513"/>
      <c r="M50" s="511"/>
      <c r="N50" s="511"/>
      <c r="O50" s="511"/>
      <c r="P50" s="511"/>
      <c r="Q50" s="511"/>
      <c r="T50" s="515"/>
      <c r="U50" s="515"/>
    </row>
    <row r="51" spans="1:21" ht="12.75">
      <c r="A51" s="25"/>
      <c r="C51" s="1"/>
      <c r="D51" s="1"/>
      <c r="E51" s="1"/>
      <c r="H51" s="7"/>
      <c r="I51" s="7"/>
      <c r="K51" s="7"/>
      <c r="L51" s="7"/>
      <c r="M51" s="7"/>
      <c r="N51" s="7"/>
      <c r="O51" s="7"/>
      <c r="P51" s="7"/>
      <c r="Q51" s="7"/>
      <c r="T51" s="7"/>
      <c r="U51" s="7"/>
    </row>
    <row r="52" spans="1:21" ht="12.75">
      <c r="A52" s="24" t="s">
        <v>130</v>
      </c>
      <c r="B52" t="s">
        <v>2</v>
      </c>
      <c r="C52" s="410" t="s">
        <v>32</v>
      </c>
      <c r="D52" s="410"/>
      <c r="E52" s="410"/>
      <c r="H52" s="8"/>
      <c r="I52" s="8"/>
      <c r="K52" s="7"/>
      <c r="L52" s="7"/>
      <c r="M52" s="7"/>
      <c r="N52" s="7"/>
      <c r="O52" s="7"/>
      <c r="P52" s="7"/>
      <c r="Q52" s="7"/>
      <c r="T52" s="8"/>
      <c r="U52" s="8"/>
    </row>
    <row r="53" spans="1:21" ht="12.75">
      <c r="A53" s="25"/>
      <c r="C53" s="410"/>
      <c r="D53" s="410"/>
      <c r="E53" s="410"/>
      <c r="H53" s="8"/>
      <c r="I53" s="8"/>
      <c r="K53" s="7"/>
      <c r="L53" s="7"/>
      <c r="M53" s="7"/>
      <c r="N53" s="7"/>
      <c r="O53" s="7"/>
      <c r="P53" s="7"/>
      <c r="Q53" s="7"/>
      <c r="T53" s="8"/>
      <c r="U53" s="8"/>
    </row>
    <row r="54" spans="1:21" ht="12.75">
      <c r="A54" s="25"/>
      <c r="C54" s="410" t="s">
        <v>579</v>
      </c>
      <c r="D54" s="410"/>
      <c r="E54" s="410"/>
      <c r="H54" s="514">
        <f>+QTR!G36</f>
        <v>0.06057997265616668</v>
      </c>
      <c r="I54" s="514"/>
      <c r="K54" s="514">
        <f>+QTR!G36</f>
        <v>0.06057997265616668</v>
      </c>
      <c r="L54" s="514"/>
      <c r="M54" s="10"/>
      <c r="N54" s="10"/>
      <c r="O54" s="10"/>
      <c r="P54" s="10"/>
      <c r="Q54" s="10"/>
      <c r="T54" s="514">
        <f>+T48/75000</f>
        <v>0.3134266666666667</v>
      </c>
      <c r="U54" s="514"/>
    </row>
    <row r="55" spans="1:21" ht="12.75">
      <c r="A55" s="26"/>
      <c r="C55" s="410"/>
      <c r="D55" s="410"/>
      <c r="E55" s="410"/>
      <c r="H55" s="514"/>
      <c r="I55" s="514"/>
      <c r="K55" s="514"/>
      <c r="L55" s="514"/>
      <c r="M55" s="10"/>
      <c r="N55" s="10"/>
      <c r="O55" s="10"/>
      <c r="P55" s="10"/>
      <c r="Q55" s="10"/>
      <c r="T55" s="514"/>
      <c r="U55" s="514"/>
    </row>
    <row r="56" spans="1:21" ht="12.75">
      <c r="A56" s="26"/>
      <c r="C56" s="410" t="s">
        <v>576</v>
      </c>
      <c r="D56" s="410"/>
      <c r="E56" s="410"/>
      <c r="H56" s="520">
        <v>0</v>
      </c>
      <c r="I56" s="520"/>
      <c r="K56" s="387"/>
      <c r="T56" s="520">
        <v>0</v>
      </c>
      <c r="U56" s="520"/>
    </row>
    <row r="57" spans="1:21" ht="12.75">
      <c r="A57" s="26"/>
      <c r="C57" s="410"/>
      <c r="D57" s="410"/>
      <c r="E57" s="410"/>
      <c r="H57" s="520"/>
      <c r="I57" s="520"/>
      <c r="J57" s="387"/>
      <c r="K57" s="387"/>
      <c r="L57" s="387">
        <f>+QTR!E37</f>
        <v>0</v>
      </c>
      <c r="M57" s="387"/>
      <c r="N57" s="387"/>
      <c r="O57" s="387"/>
      <c r="P57" s="387"/>
      <c r="Q57" s="387"/>
      <c r="T57" s="520"/>
      <c r="U57" s="520"/>
    </row>
    <row r="58" spans="1:18" ht="12.75">
      <c r="A58" s="26"/>
      <c r="C58" s="1"/>
      <c r="D58" s="1"/>
      <c r="E58" s="1"/>
      <c r="H58" s="36"/>
      <c r="I58" s="36"/>
      <c r="J58" s="36"/>
      <c r="K58" s="36"/>
      <c r="L58" s="36"/>
      <c r="M58" s="36"/>
      <c r="N58" s="36"/>
      <c r="O58" s="36"/>
      <c r="P58" s="36"/>
      <c r="Q58" s="36"/>
      <c r="R58" s="36"/>
    </row>
    <row r="59" spans="1:18" ht="12.75">
      <c r="A59" s="27"/>
      <c r="B59" s="16"/>
      <c r="C59" s="42"/>
      <c r="D59" s="42"/>
      <c r="E59" s="42"/>
      <c r="F59" s="46"/>
      <c r="G59" s="46"/>
      <c r="H59" s="47"/>
      <c r="I59" s="47"/>
      <c r="J59" s="46"/>
      <c r="K59" s="46"/>
      <c r="L59" s="16"/>
      <c r="M59" s="16"/>
      <c r="N59" s="16"/>
      <c r="O59" s="16"/>
      <c r="P59" s="16"/>
      <c r="Q59" s="16"/>
      <c r="R59" s="48"/>
    </row>
    <row r="60" spans="1:18" ht="12.75">
      <c r="A60" s="4" t="s">
        <v>127</v>
      </c>
      <c r="D60" s="16"/>
      <c r="R60" s="18"/>
    </row>
    <row r="61" spans="1:4" ht="12.75">
      <c r="A61" s="26"/>
      <c r="D61" s="16"/>
    </row>
    <row r="62" spans="1:17" ht="12.75">
      <c r="A62" s="26"/>
      <c r="G62" s="384" t="s">
        <v>33</v>
      </c>
      <c r="H62" s="384"/>
      <c r="I62" s="384"/>
      <c r="J62" s="384" t="s">
        <v>34</v>
      </c>
      <c r="K62" s="384"/>
      <c r="L62" s="525"/>
      <c r="M62" s="388"/>
      <c r="N62" s="388"/>
      <c r="O62" s="388"/>
      <c r="P62" s="388"/>
      <c r="Q62" s="388"/>
    </row>
    <row r="63" spans="1:24" ht="12.75">
      <c r="A63" s="26"/>
      <c r="G63" s="384"/>
      <c r="H63" s="384"/>
      <c r="I63" s="384"/>
      <c r="J63" s="384"/>
      <c r="K63" s="384"/>
      <c r="L63" s="525"/>
      <c r="M63" s="388"/>
      <c r="N63" s="388"/>
      <c r="O63" s="388"/>
      <c r="P63" s="388"/>
      <c r="Q63" s="388"/>
      <c r="T63" s="413" t="s">
        <v>173</v>
      </c>
      <c r="U63" s="413"/>
      <c r="V63" s="28" t="s">
        <v>175</v>
      </c>
      <c r="W63" s="413" t="s">
        <v>174</v>
      </c>
      <c r="X63" s="413"/>
    </row>
    <row r="64" spans="1:26" ht="12.75">
      <c r="A64" s="26"/>
      <c r="G64" s="384" t="s">
        <v>578</v>
      </c>
      <c r="H64" s="384"/>
      <c r="I64" s="384"/>
      <c r="J64" s="384" t="s">
        <v>148</v>
      </c>
      <c r="K64" s="384"/>
      <c r="L64" s="384"/>
      <c r="M64" s="3"/>
      <c r="N64" s="3"/>
      <c r="O64" s="3"/>
      <c r="P64" s="3"/>
      <c r="Q64" s="3"/>
      <c r="T64" s="28" t="s">
        <v>171</v>
      </c>
      <c r="U64" s="28" t="s">
        <v>172</v>
      </c>
      <c r="V64" s="28" t="s">
        <v>41</v>
      </c>
      <c r="W64" s="28" t="s">
        <v>171</v>
      </c>
      <c r="X64" s="28" t="s">
        <v>172</v>
      </c>
      <c r="Y64" s="28" t="s">
        <v>176</v>
      </c>
      <c r="Z64" s="28" t="s">
        <v>177</v>
      </c>
    </row>
    <row r="65" spans="1:17" ht="12.75">
      <c r="A65" s="26"/>
      <c r="G65" s="526"/>
      <c r="H65" s="526"/>
      <c r="I65" s="526"/>
      <c r="J65" s="526"/>
      <c r="K65" s="526"/>
      <c r="L65" s="526"/>
      <c r="M65" s="11"/>
      <c r="N65" s="11"/>
      <c r="O65" s="11"/>
      <c r="P65" s="11"/>
      <c r="Q65" s="11"/>
    </row>
    <row r="66" spans="1:26" ht="12.75">
      <c r="A66" s="24" t="s">
        <v>128</v>
      </c>
      <c r="B66" t="s">
        <v>35</v>
      </c>
      <c r="G66" s="512">
        <f>+'CONS-P&amp;L,BS'!S113</f>
        <v>62167</v>
      </c>
      <c r="H66" s="527"/>
      <c r="I66" s="527"/>
      <c r="J66" s="512">
        <f>+'CONS-P&amp;L,BS'!T113</f>
        <v>61881</v>
      </c>
      <c r="K66" s="527"/>
      <c r="L66" s="527"/>
      <c r="M66" s="49"/>
      <c r="N66" s="49"/>
      <c r="O66" s="49"/>
      <c r="P66" s="49"/>
      <c r="Q66" s="49"/>
      <c r="S66">
        <v>1998</v>
      </c>
      <c r="T66" s="8">
        <f>+J74+J75+J77+J79</f>
        <v>162111</v>
      </c>
      <c r="U66" s="8">
        <f>+J83+J84+J85+J86+J88+J89</f>
        <v>71714</v>
      </c>
      <c r="V66" s="8">
        <f>+T66-U66</f>
        <v>90397</v>
      </c>
      <c r="W66" s="8">
        <f>+J66+J67+J68+J69+J70</f>
        <v>148348</v>
      </c>
      <c r="X66" s="8">
        <f>+J103+J104+J105</f>
        <v>83198</v>
      </c>
      <c r="Y66" s="8">
        <f>+J94+J96+J98+J100+J101</f>
        <v>155547</v>
      </c>
      <c r="Z66" s="8">
        <f>+V66+W66+X66-Y66</f>
        <v>166396</v>
      </c>
    </row>
    <row r="67" spans="1:26" ht="12.75">
      <c r="A67" s="24" t="s">
        <v>129</v>
      </c>
      <c r="B67" t="s">
        <v>36</v>
      </c>
      <c r="G67" s="512">
        <f>+'CONS-P&amp;L,BS'!S114</f>
        <v>53193</v>
      </c>
      <c r="H67" s="512"/>
      <c r="I67" s="512"/>
      <c r="J67" s="512">
        <f>+'CONS-P&amp;L,BS'!T114</f>
        <v>53846</v>
      </c>
      <c r="K67" s="512"/>
      <c r="L67" s="512"/>
      <c r="M67" s="9"/>
      <c r="N67" s="9"/>
      <c r="O67" s="9"/>
      <c r="P67" s="9"/>
      <c r="Q67" s="9"/>
      <c r="S67">
        <v>1999</v>
      </c>
      <c r="T67" s="8">
        <f>+G74+G75+G77+G79</f>
        <v>194811</v>
      </c>
      <c r="U67" s="8">
        <f>+G83+G84+G85+G86+G88+G89</f>
        <v>95129</v>
      </c>
      <c r="V67" s="8">
        <f>+T67-U67</f>
        <v>99682</v>
      </c>
      <c r="W67" s="8">
        <f>+G66+G67+G68+G69+G70</f>
        <v>144871</v>
      </c>
      <c r="X67" s="40">
        <f>+G103+G104+G105</f>
        <v>84673</v>
      </c>
      <c r="Y67" s="8">
        <f>+G94+G96+G98+G100+G101+1</f>
        <v>159881</v>
      </c>
      <c r="Z67" s="8">
        <f>+V67+W67+X67-Y67</f>
        <v>169345</v>
      </c>
    </row>
    <row r="68" spans="1:17" ht="12.75">
      <c r="A68" s="24" t="s">
        <v>130</v>
      </c>
      <c r="B68" t="s">
        <v>37</v>
      </c>
      <c r="G68" s="512">
        <f>+'CONS-P&amp;L,BS'!S115</f>
        <v>7000</v>
      </c>
      <c r="H68" s="512"/>
      <c r="I68" s="512"/>
      <c r="J68" s="512">
        <f>+'CONS-P&amp;L,BS'!T115</f>
        <v>7000</v>
      </c>
      <c r="K68" s="512"/>
      <c r="L68" s="512"/>
      <c r="M68" s="9"/>
      <c r="N68" s="9"/>
      <c r="O68" s="9"/>
      <c r="P68" s="9"/>
      <c r="Q68" s="9"/>
    </row>
    <row r="69" spans="1:17" ht="12.75">
      <c r="A69" s="25"/>
      <c r="B69" s="12" t="s">
        <v>38</v>
      </c>
      <c r="C69" s="12" t="s">
        <v>39</v>
      </c>
      <c r="D69" s="12"/>
      <c r="E69" s="12"/>
      <c r="G69" s="515">
        <f>+'CONS-P&amp;L,BS'!S112</f>
        <v>22500</v>
      </c>
      <c r="H69" s="515"/>
      <c r="I69" s="515"/>
      <c r="J69" s="515">
        <f>+'CONS-P&amp;L,BS'!T112</f>
        <v>25610</v>
      </c>
      <c r="K69" s="515"/>
      <c r="L69" s="515"/>
      <c r="M69" s="7"/>
      <c r="N69" s="7"/>
      <c r="O69" s="7"/>
      <c r="P69" s="7"/>
      <c r="Q69" s="7"/>
    </row>
    <row r="70" spans="1:17" ht="12.75">
      <c r="A70" s="24" t="s">
        <v>131</v>
      </c>
      <c r="B70" t="s">
        <v>40</v>
      </c>
      <c r="G70" s="515">
        <f>+'CONS-P&amp;L,BS'!S117</f>
        <v>11</v>
      </c>
      <c r="H70" s="515"/>
      <c r="I70" s="515"/>
      <c r="J70" s="515">
        <f>+'CONS-P&amp;L,BS'!T117</f>
        <v>11</v>
      </c>
      <c r="K70" s="515"/>
      <c r="L70" s="515"/>
      <c r="M70" s="7"/>
      <c r="N70" s="7"/>
      <c r="O70" s="7"/>
      <c r="P70" s="7"/>
      <c r="Q70" s="7"/>
    </row>
    <row r="71" spans="1:21" ht="12.75" hidden="1">
      <c r="A71" s="24"/>
      <c r="G71" s="382" t="s">
        <v>605</v>
      </c>
      <c r="H71" s="382"/>
      <c r="I71" s="382">
        <f>SUM(G66:I70)</f>
        <v>144871</v>
      </c>
      <c r="J71" s="382"/>
      <c r="K71" s="382"/>
      <c r="L71" s="382">
        <f>SUM(J66:L70)</f>
        <v>148348</v>
      </c>
      <c r="M71" s="382"/>
      <c r="N71" s="382"/>
      <c r="O71" s="382"/>
      <c r="P71" s="382"/>
      <c r="Q71" s="382"/>
      <c r="T71" s="8">
        <f>+I71+I80-I90</f>
        <v>244553</v>
      </c>
      <c r="U71" s="8">
        <f>+L71+L80-L90</f>
        <v>238745</v>
      </c>
    </row>
    <row r="72" spans="1:17" ht="12.75">
      <c r="A72" s="24"/>
      <c r="G72" s="7"/>
      <c r="H72" s="7"/>
      <c r="I72" s="7"/>
      <c r="J72" s="7"/>
      <c r="K72" s="7"/>
      <c r="L72" s="7"/>
      <c r="M72" s="7"/>
      <c r="N72" s="7"/>
      <c r="O72" s="7"/>
      <c r="P72" s="7"/>
      <c r="Q72" s="7"/>
    </row>
    <row r="73" spans="1:17" ht="12.75">
      <c r="A73" s="24" t="s">
        <v>132</v>
      </c>
      <c r="B73" t="s">
        <v>41</v>
      </c>
      <c r="G73" s="8"/>
      <c r="H73" s="8"/>
      <c r="I73" s="8"/>
      <c r="J73" s="8"/>
      <c r="K73" s="8"/>
      <c r="L73" s="8"/>
      <c r="M73" s="8"/>
      <c r="N73" s="8"/>
      <c r="O73" s="8"/>
      <c r="P73" s="8"/>
      <c r="Q73" s="8"/>
    </row>
    <row r="74" spans="1:17" ht="12.75">
      <c r="A74" s="25"/>
      <c r="C74" s="12" t="s">
        <v>42</v>
      </c>
      <c r="D74" s="12"/>
      <c r="E74" s="12"/>
      <c r="G74" s="515">
        <f>+'CONS-P&amp;L,BS'!S70</f>
        <v>37366</v>
      </c>
      <c r="H74" s="515"/>
      <c r="I74" s="515"/>
      <c r="J74" s="515">
        <f>+'CONS-P&amp;L,BS'!T70</f>
        <v>18370</v>
      </c>
      <c r="K74" s="515"/>
      <c r="L74" s="515"/>
      <c r="M74" s="7"/>
      <c r="N74" s="7"/>
      <c r="O74" s="7"/>
      <c r="P74" s="7"/>
      <c r="Q74" s="7"/>
    </row>
    <row r="75" spans="1:17" ht="12.75">
      <c r="A75" s="25"/>
      <c r="C75" s="12" t="s">
        <v>43</v>
      </c>
      <c r="D75" s="12"/>
      <c r="E75" s="12"/>
      <c r="G75" s="515">
        <f>+'CONS-P&amp;L,BS'!S68</f>
        <v>45371</v>
      </c>
      <c r="H75" s="515"/>
      <c r="I75" s="515"/>
      <c r="J75" s="515">
        <f>+'CONS-P&amp;L,BS'!T68</f>
        <v>48314</v>
      </c>
      <c r="K75" s="515"/>
      <c r="L75" s="515"/>
      <c r="M75" s="7"/>
      <c r="N75" s="7"/>
      <c r="O75" s="7"/>
      <c r="P75" s="7"/>
      <c r="Q75" s="7"/>
    </row>
    <row r="76" spans="1:17" ht="12.75">
      <c r="A76" s="25"/>
      <c r="C76" s="12" t="s">
        <v>44</v>
      </c>
      <c r="D76" s="12"/>
      <c r="E76" s="12"/>
      <c r="G76" s="512" t="s">
        <v>6</v>
      </c>
      <c r="H76" s="512"/>
      <c r="I76" s="512"/>
      <c r="J76" s="512" t="s">
        <v>6</v>
      </c>
      <c r="K76" s="512"/>
      <c r="L76" s="512"/>
      <c r="M76" s="9"/>
      <c r="N76" s="9"/>
      <c r="O76" s="9"/>
      <c r="P76" s="9"/>
      <c r="Q76" s="9"/>
    </row>
    <row r="77" spans="1:17" ht="12.75">
      <c r="A77" s="25"/>
      <c r="C77" s="12" t="s">
        <v>45</v>
      </c>
      <c r="D77" s="12"/>
      <c r="E77" s="12"/>
      <c r="G77" s="515">
        <f>+'CONS-P&amp;L,BS'!S67</f>
        <v>101479</v>
      </c>
      <c r="H77" s="515"/>
      <c r="I77" s="515"/>
      <c r="J77" s="515">
        <f>+'CONS-P&amp;L,BS'!T67-1</f>
        <v>83658</v>
      </c>
      <c r="K77" s="515"/>
      <c r="L77" s="515"/>
      <c r="M77" s="7"/>
      <c r="N77" s="7"/>
      <c r="O77" s="7"/>
      <c r="P77" s="7"/>
      <c r="Q77" s="7"/>
    </row>
    <row r="78" spans="1:17" ht="12.75">
      <c r="A78" s="25"/>
      <c r="C78" s="12" t="s">
        <v>46</v>
      </c>
      <c r="D78" s="12"/>
      <c r="E78" s="12"/>
      <c r="G78" s="8"/>
      <c r="H78" s="8"/>
      <c r="I78" s="8"/>
      <c r="J78" s="8"/>
      <c r="K78" s="8"/>
      <c r="L78" s="8"/>
      <c r="M78" s="8"/>
      <c r="N78" s="8"/>
      <c r="O78" s="8"/>
      <c r="P78" s="8"/>
      <c r="Q78" s="8"/>
    </row>
    <row r="79" spans="1:17" ht="12.75">
      <c r="A79" s="25"/>
      <c r="C79" s="12"/>
      <c r="D79" s="12" t="s">
        <v>47</v>
      </c>
      <c r="E79" s="12"/>
      <c r="G79" s="515">
        <f>+'CONS-P&amp;L,BS'!S69</f>
        <v>10595</v>
      </c>
      <c r="H79" s="515"/>
      <c r="I79" s="515"/>
      <c r="J79" s="515">
        <f>+'CONS-P&amp;L,BS'!T69</f>
        <v>11769</v>
      </c>
      <c r="K79" s="515"/>
      <c r="L79" s="515"/>
      <c r="M79" s="7"/>
      <c r="N79" s="7"/>
      <c r="O79" s="7"/>
      <c r="P79" s="7"/>
      <c r="Q79" s="7"/>
    </row>
    <row r="80" spans="1:17" ht="12.75" hidden="1">
      <c r="A80" s="25"/>
      <c r="C80" s="12"/>
      <c r="D80" s="12"/>
      <c r="E80" s="12"/>
      <c r="G80" s="379" t="s">
        <v>606</v>
      </c>
      <c r="H80" s="379"/>
      <c r="I80" s="379">
        <f>SUM(G74:I79)</f>
        <v>194811</v>
      </c>
      <c r="J80" s="379"/>
      <c r="K80" s="379"/>
      <c r="L80" s="379">
        <f>SUM(J74:L79)</f>
        <v>162111</v>
      </c>
      <c r="M80" s="379"/>
      <c r="N80" s="379"/>
      <c r="O80" s="379"/>
      <c r="P80" s="379"/>
      <c r="Q80" s="379"/>
    </row>
    <row r="81" spans="1:17" ht="12.75">
      <c r="A81" s="25"/>
      <c r="C81" s="12"/>
      <c r="D81" s="12"/>
      <c r="E81" s="12"/>
      <c r="G81" s="7"/>
      <c r="H81" s="7"/>
      <c r="I81" s="7"/>
      <c r="J81" s="7"/>
      <c r="K81" s="7"/>
      <c r="L81" s="7"/>
      <c r="M81" s="7"/>
      <c r="N81" s="7"/>
      <c r="O81" s="7"/>
      <c r="P81" s="7"/>
      <c r="Q81" s="7"/>
    </row>
    <row r="82" spans="1:17" ht="12.75">
      <c r="A82" s="24" t="s">
        <v>133</v>
      </c>
      <c r="B82" t="s">
        <v>48</v>
      </c>
      <c r="G82" s="8"/>
      <c r="H82" s="8"/>
      <c r="I82" s="8"/>
      <c r="J82" s="8"/>
      <c r="K82" s="8"/>
      <c r="L82" s="8"/>
      <c r="M82" s="8"/>
      <c r="N82" s="8"/>
      <c r="O82" s="8"/>
      <c r="P82" s="8"/>
      <c r="Q82" s="8"/>
    </row>
    <row r="83" spans="1:17" ht="12.75">
      <c r="A83" s="25"/>
      <c r="C83" s="12" t="s">
        <v>49</v>
      </c>
      <c r="D83" s="12"/>
      <c r="E83" s="12"/>
      <c r="G83" s="515">
        <f>+'CONS-P&amp;L,BS'!S80</f>
        <v>835</v>
      </c>
      <c r="H83" s="515"/>
      <c r="I83" s="515"/>
      <c r="J83" s="515">
        <f>+'CONS-P&amp;L,BS'!T80</f>
        <v>5538</v>
      </c>
      <c r="K83" s="515"/>
      <c r="L83" s="515"/>
      <c r="M83" s="7"/>
      <c r="N83" s="7"/>
      <c r="O83" s="7"/>
      <c r="P83" s="7"/>
      <c r="Q83" s="7"/>
    </row>
    <row r="84" spans="1:17" ht="12.75">
      <c r="A84" s="25"/>
      <c r="C84" s="12" t="s">
        <v>50</v>
      </c>
      <c r="D84" s="12"/>
      <c r="E84" s="12"/>
      <c r="G84" s="515">
        <f>+'CONS-P&amp;L,BS'!S81</f>
        <v>52804</v>
      </c>
      <c r="H84" s="515"/>
      <c r="I84" s="515"/>
      <c r="J84" s="515">
        <f>+'CONS-P&amp;L,BS'!T81</f>
        <v>39176</v>
      </c>
      <c r="K84" s="515"/>
      <c r="L84" s="515"/>
      <c r="M84" s="7"/>
      <c r="N84" s="7"/>
      <c r="O84" s="7"/>
      <c r="P84" s="7"/>
      <c r="Q84" s="7"/>
    </row>
    <row r="85" spans="1:17" ht="12.75">
      <c r="A85" s="25"/>
      <c r="C85" s="12" t="s">
        <v>51</v>
      </c>
      <c r="D85" s="12"/>
      <c r="E85" s="12"/>
      <c r="G85" s="515">
        <f>+'CONS-P&amp;L,BS'!S82</f>
        <v>33936</v>
      </c>
      <c r="H85" s="515"/>
      <c r="I85" s="515"/>
      <c r="J85" s="515">
        <f>+'CONS-P&amp;L,BS'!T82</f>
        <v>21118</v>
      </c>
      <c r="K85" s="515"/>
      <c r="L85" s="515"/>
      <c r="M85" s="7"/>
      <c r="N85" s="7"/>
      <c r="O85" s="7"/>
      <c r="P85" s="7"/>
      <c r="Q85" s="7"/>
    </row>
    <row r="86" spans="1:17" ht="12.75">
      <c r="A86" s="25"/>
      <c r="C86" s="12" t="s">
        <v>52</v>
      </c>
      <c r="D86" s="12"/>
      <c r="E86" s="12"/>
      <c r="G86" s="515">
        <f>+'CONS-P&amp;L,BS'!S86</f>
        <v>2411</v>
      </c>
      <c r="H86" s="515"/>
      <c r="I86" s="515"/>
      <c r="J86" s="515">
        <f>+'CONS-P&amp;L,BS'!T86</f>
        <v>894</v>
      </c>
      <c r="K86" s="515"/>
      <c r="L86" s="515"/>
      <c r="M86" s="7"/>
      <c r="N86" s="7"/>
      <c r="O86" s="7"/>
      <c r="P86" s="7"/>
      <c r="Q86" s="7"/>
    </row>
    <row r="87" spans="1:17" ht="12.75">
      <c r="A87" s="25"/>
      <c r="C87" s="12" t="s">
        <v>53</v>
      </c>
      <c r="D87" s="12"/>
      <c r="E87" s="12"/>
      <c r="G87" s="8"/>
      <c r="H87" s="8"/>
      <c r="I87" s="8"/>
      <c r="J87" s="8"/>
      <c r="K87" s="8"/>
      <c r="L87" s="8"/>
      <c r="M87" s="8"/>
      <c r="N87" s="8"/>
      <c r="O87" s="8"/>
      <c r="P87" s="8"/>
      <c r="Q87" s="8"/>
    </row>
    <row r="88" spans="1:17" ht="12.75">
      <c r="A88" s="25"/>
      <c r="C88" s="12"/>
      <c r="D88" s="12" t="s">
        <v>54</v>
      </c>
      <c r="E88" s="12"/>
      <c r="G88" s="515">
        <f>+'CONS-P&amp;L,BS'!S83+'CONS-P&amp;L,BS'!S84</f>
        <v>553</v>
      </c>
      <c r="H88" s="515"/>
      <c r="I88" s="515"/>
      <c r="J88" s="515">
        <f>+'CONS-P&amp;L,BS'!T83+'CONS-P&amp;L,BS'!T84</f>
        <v>398</v>
      </c>
      <c r="K88" s="515"/>
      <c r="L88" s="515"/>
      <c r="M88" s="7"/>
      <c r="N88" s="7"/>
      <c r="O88" s="7"/>
      <c r="P88" s="7"/>
      <c r="Q88" s="7"/>
    </row>
    <row r="89" spans="1:17" ht="12.75">
      <c r="A89" s="25"/>
      <c r="C89" s="12"/>
      <c r="D89" s="12" t="s">
        <v>55</v>
      </c>
      <c r="E89" s="12"/>
      <c r="G89" s="512">
        <f>+'CONS-P&amp;L,BS'!S87</f>
        <v>4590</v>
      </c>
      <c r="H89" s="512"/>
      <c r="I89" s="512"/>
      <c r="J89" s="512">
        <f>+'CONS-P&amp;L,BS'!T87</f>
        <v>4590</v>
      </c>
      <c r="K89" s="512"/>
      <c r="L89" s="512"/>
      <c r="M89" s="9"/>
      <c r="N89" s="9"/>
      <c r="O89" s="9"/>
      <c r="P89" s="9"/>
      <c r="Q89" s="9"/>
    </row>
    <row r="90" spans="1:17" ht="12.75" hidden="1">
      <c r="A90" s="25"/>
      <c r="C90" s="12"/>
      <c r="D90" s="12"/>
      <c r="E90" s="12"/>
      <c r="G90" s="380" t="s">
        <v>199</v>
      </c>
      <c r="H90" s="381"/>
      <c r="I90" s="381">
        <f>SUM(G83:I89)</f>
        <v>95129</v>
      </c>
      <c r="J90" s="381"/>
      <c r="K90" s="381"/>
      <c r="L90" s="381">
        <f>SUM(J83:L89)</f>
        <v>71714</v>
      </c>
      <c r="M90" s="381"/>
      <c r="N90" s="381"/>
      <c r="O90" s="381"/>
      <c r="P90" s="381"/>
      <c r="Q90" s="381"/>
    </row>
    <row r="91" spans="1:17" ht="12.75">
      <c r="A91" s="25"/>
      <c r="C91" s="12"/>
      <c r="D91" s="12"/>
      <c r="E91" s="12"/>
      <c r="G91" s="9"/>
      <c r="H91" s="9"/>
      <c r="I91" s="9"/>
      <c r="J91" s="9"/>
      <c r="K91" s="9"/>
      <c r="L91" s="9"/>
      <c r="M91" s="9"/>
      <c r="N91" s="9"/>
      <c r="O91" s="9"/>
      <c r="P91" s="9"/>
      <c r="Q91" s="9"/>
    </row>
    <row r="92" spans="1:17" ht="12.75">
      <c r="A92" s="24" t="s">
        <v>134</v>
      </c>
      <c r="B92" t="s">
        <v>56</v>
      </c>
      <c r="G92" s="515">
        <f>+'CONS-P&amp;L,BS'!S111</f>
        <v>99684</v>
      </c>
      <c r="H92" s="515"/>
      <c r="I92" s="515"/>
      <c r="J92" s="515">
        <f>+'CONS-P&amp;L,BS'!T111</f>
        <v>90397</v>
      </c>
      <c r="K92" s="515"/>
      <c r="L92" s="515"/>
      <c r="M92" s="7"/>
      <c r="N92" s="7"/>
      <c r="O92" s="7"/>
      <c r="P92" s="7"/>
      <c r="Q92" s="7"/>
    </row>
    <row r="93" spans="1:17" ht="12.75">
      <c r="A93" s="24" t="s">
        <v>135</v>
      </c>
      <c r="B93" t="s">
        <v>57</v>
      </c>
      <c r="G93" s="8"/>
      <c r="H93" s="8"/>
      <c r="I93" s="8"/>
      <c r="J93" s="8"/>
      <c r="K93" s="8"/>
      <c r="L93" s="8"/>
      <c r="M93" s="8"/>
      <c r="N93" s="8"/>
      <c r="O93" s="8"/>
      <c r="P93" s="8"/>
      <c r="Q93" s="8"/>
    </row>
    <row r="94" spans="1:17" ht="12.75">
      <c r="A94" s="25"/>
      <c r="B94" t="s">
        <v>58</v>
      </c>
      <c r="G94" s="515">
        <f>+'CONS-P&amp;L,BS'!S127</f>
        <v>75000</v>
      </c>
      <c r="H94" s="515"/>
      <c r="I94" s="515"/>
      <c r="J94" s="515">
        <f>+'CONS-P&amp;L,BS'!T127</f>
        <v>75000</v>
      </c>
      <c r="K94" s="515"/>
      <c r="L94" s="515"/>
      <c r="M94" s="7"/>
      <c r="N94" s="7"/>
      <c r="O94" s="7"/>
      <c r="P94" s="7"/>
      <c r="Q94" s="7"/>
    </row>
    <row r="95" spans="1:17" ht="12.75">
      <c r="A95" s="25"/>
      <c r="B95" t="s">
        <v>59</v>
      </c>
      <c r="G95" s="8"/>
      <c r="H95" s="8"/>
      <c r="I95" s="8"/>
      <c r="J95" s="8"/>
      <c r="K95" s="8"/>
      <c r="L95" s="8"/>
      <c r="M95" s="8"/>
      <c r="N95" s="8"/>
      <c r="O95" s="8"/>
      <c r="P95" s="8"/>
      <c r="Q95" s="8"/>
    </row>
    <row r="96" spans="1:17" ht="12.75">
      <c r="A96" s="25"/>
      <c r="C96" s="12" t="s">
        <v>60</v>
      </c>
      <c r="D96" s="12"/>
      <c r="E96" s="12"/>
      <c r="G96" s="515">
        <f>+'CONS-P&amp;L,BS'!S131</f>
        <v>12720</v>
      </c>
      <c r="H96" s="515"/>
      <c r="I96" s="515"/>
      <c r="J96" s="515">
        <f>+'CONS-P&amp;L,BS'!T131</f>
        <v>12720</v>
      </c>
      <c r="K96" s="515"/>
      <c r="L96" s="515"/>
      <c r="M96" s="7"/>
      <c r="N96" s="7"/>
      <c r="O96" s="7"/>
      <c r="P96" s="7"/>
      <c r="Q96" s="7"/>
    </row>
    <row r="97" spans="1:17" ht="12.75">
      <c r="A97" s="25"/>
      <c r="C97" s="12" t="s">
        <v>61</v>
      </c>
      <c r="D97" s="12"/>
      <c r="E97" s="12"/>
      <c r="G97" s="512" t="s">
        <v>6</v>
      </c>
      <c r="H97" s="512"/>
      <c r="I97" s="512"/>
      <c r="J97" s="512" t="s">
        <v>6</v>
      </c>
      <c r="K97" s="512"/>
      <c r="L97" s="512"/>
      <c r="M97" s="9"/>
      <c r="N97" s="9"/>
      <c r="O97" s="9"/>
      <c r="P97" s="9"/>
      <c r="Q97" s="9"/>
    </row>
    <row r="98" spans="1:17" ht="12.75">
      <c r="A98" s="25"/>
      <c r="C98" s="12" t="s">
        <v>62</v>
      </c>
      <c r="D98" s="12"/>
      <c r="E98" s="12"/>
      <c r="G98" s="515">
        <f>+'CONS-P&amp;L,BS'!S128+'CONS-P&amp;L,BS'!S129</f>
        <v>10136</v>
      </c>
      <c r="H98" s="515"/>
      <c r="I98" s="515"/>
      <c r="J98" s="515">
        <f>+'CONS-P&amp;L,BS'!T128+'CONS-P&amp;L,BS'!T129+1</f>
        <v>10272</v>
      </c>
      <c r="K98" s="515"/>
      <c r="L98" s="515"/>
      <c r="M98" s="7"/>
      <c r="N98" s="7"/>
      <c r="O98" s="7"/>
      <c r="P98" s="7"/>
      <c r="Q98" s="7"/>
    </row>
    <row r="99" spans="1:17" ht="12.75">
      <c r="A99" s="25"/>
      <c r="C99" s="12" t="s">
        <v>63</v>
      </c>
      <c r="D99" s="12"/>
      <c r="E99" s="12"/>
      <c r="G99" s="512" t="s">
        <v>6</v>
      </c>
      <c r="H99" s="512"/>
      <c r="I99" s="512"/>
      <c r="J99" s="512" t="s">
        <v>6</v>
      </c>
      <c r="K99" s="512"/>
      <c r="L99" s="512"/>
      <c r="M99" s="9"/>
      <c r="N99" s="9"/>
      <c r="O99" s="9"/>
      <c r="P99" s="9"/>
      <c r="Q99" s="9"/>
    </row>
    <row r="100" spans="1:17" ht="12.75">
      <c r="A100" s="25"/>
      <c r="C100" s="12" t="s">
        <v>64</v>
      </c>
      <c r="D100" s="12"/>
      <c r="E100" s="12"/>
      <c r="G100" s="515">
        <f>+'CONS-P&amp;L,BS'!S133</f>
        <v>61959</v>
      </c>
      <c r="H100" s="515"/>
      <c r="I100" s="515"/>
      <c r="J100" s="515">
        <f>+'CONS-P&amp;L,BS'!T133</f>
        <v>57559</v>
      </c>
      <c r="K100" s="515"/>
      <c r="L100" s="515"/>
      <c r="M100" s="7"/>
      <c r="N100" s="7"/>
      <c r="O100" s="7"/>
      <c r="P100" s="7"/>
      <c r="Q100" s="7"/>
    </row>
    <row r="101" spans="1:17" ht="12.75">
      <c r="A101" s="25"/>
      <c r="C101" s="12" t="s">
        <v>65</v>
      </c>
      <c r="D101" s="12"/>
      <c r="E101" s="12"/>
      <c r="G101" s="515">
        <f>+'CONS-P&amp;L,BS'!O132</f>
        <v>65</v>
      </c>
      <c r="H101" s="515"/>
      <c r="I101" s="515"/>
      <c r="J101" s="515">
        <f>+'CONS-P&amp;L,BS'!T132</f>
        <v>-4</v>
      </c>
      <c r="K101" s="515"/>
      <c r="L101" s="515"/>
      <c r="M101" s="7"/>
      <c r="N101" s="7"/>
      <c r="O101" s="7"/>
      <c r="P101" s="7"/>
      <c r="Q101" s="7"/>
    </row>
    <row r="102" spans="1:17" ht="12.75" hidden="1">
      <c r="A102" s="25"/>
      <c r="C102" s="12"/>
      <c r="D102" s="12"/>
      <c r="E102" s="12"/>
      <c r="G102" s="379" t="s">
        <v>607</v>
      </c>
      <c r="H102" s="379"/>
      <c r="I102" s="379">
        <f>SUM(G94:I101)</f>
        <v>159880</v>
      </c>
      <c r="J102" s="379"/>
      <c r="K102" s="379"/>
      <c r="L102" s="379">
        <f>SUM(J94:L101)</f>
        <v>155547</v>
      </c>
      <c r="M102" s="379"/>
      <c r="N102" s="379"/>
      <c r="O102" s="379"/>
      <c r="P102" s="379"/>
      <c r="Q102" s="379"/>
    </row>
    <row r="103" spans="1:17" ht="12.75">
      <c r="A103" s="24" t="s">
        <v>136</v>
      </c>
      <c r="B103" t="s">
        <v>66</v>
      </c>
      <c r="G103" s="515">
        <f>-'CONS-P&amp;L,BS'!S121</f>
        <v>45289</v>
      </c>
      <c r="H103" s="515"/>
      <c r="I103" s="515"/>
      <c r="J103" s="515">
        <f>-'CONS-P&amp;L,BS'!T121</f>
        <v>43599</v>
      </c>
      <c r="K103" s="515"/>
      <c r="L103" s="515"/>
      <c r="M103" s="7"/>
      <c r="N103" s="7"/>
      <c r="O103" s="7"/>
      <c r="P103" s="7"/>
      <c r="Q103" s="7"/>
    </row>
    <row r="104" spans="1:19" ht="12.75">
      <c r="A104" s="24" t="s">
        <v>137</v>
      </c>
      <c r="B104" t="s">
        <v>67</v>
      </c>
      <c r="G104" s="515">
        <f>-'CONS-P&amp;L,BS'!S118</f>
        <v>39384</v>
      </c>
      <c r="H104" s="515"/>
      <c r="I104" s="515"/>
      <c r="J104" s="515">
        <f>-'CONS-P&amp;L,BS'!T118</f>
        <v>39384</v>
      </c>
      <c r="K104" s="515"/>
      <c r="L104" s="515"/>
      <c r="M104" s="7"/>
      <c r="N104" s="7"/>
      <c r="O104" s="7"/>
      <c r="P104" s="7"/>
      <c r="Q104" s="7"/>
      <c r="S104" t="s">
        <v>169</v>
      </c>
    </row>
    <row r="105" spans="1:17" ht="12.75">
      <c r="A105" s="24" t="s">
        <v>138</v>
      </c>
      <c r="B105" t="s">
        <v>68</v>
      </c>
      <c r="G105" s="528">
        <f>+'CONS-P&amp;L,BS'!O119</f>
        <v>0</v>
      </c>
      <c r="H105" s="528"/>
      <c r="I105" s="528"/>
      <c r="J105" s="528">
        <f>-'CONS-P&amp;L,BS'!T119+'CONS-P&amp;L,BS'!T122</f>
        <v>215</v>
      </c>
      <c r="K105" s="528"/>
      <c r="L105" s="528"/>
      <c r="M105" s="305"/>
      <c r="N105" s="305"/>
      <c r="O105" s="305"/>
      <c r="P105" s="305"/>
      <c r="Q105" s="305"/>
    </row>
    <row r="106" spans="1:17" ht="12.75">
      <c r="A106" s="24"/>
      <c r="G106" s="305"/>
      <c r="H106" s="305"/>
      <c r="I106" s="305"/>
      <c r="J106" s="305"/>
      <c r="K106" s="305"/>
      <c r="L106" s="305"/>
      <c r="M106" s="305"/>
      <c r="N106" s="305"/>
      <c r="O106" s="305"/>
      <c r="P106" s="305"/>
      <c r="Q106" s="305"/>
    </row>
    <row r="107" spans="1:17" ht="12.75" hidden="1">
      <c r="A107" s="25"/>
      <c r="G107" s="379" t="s">
        <v>608</v>
      </c>
      <c r="H107" s="379"/>
      <c r="I107" s="379">
        <f>SUM(G103:I105)</f>
        <v>84673</v>
      </c>
      <c r="J107" s="379"/>
      <c r="K107" s="379"/>
      <c r="L107" s="379">
        <f>SUM(J103:L105)</f>
        <v>83198</v>
      </c>
      <c r="M107" s="379"/>
      <c r="N107" s="379"/>
      <c r="O107" s="379"/>
      <c r="P107" s="379"/>
      <c r="Q107" s="379"/>
    </row>
    <row r="108" spans="1:17" ht="12.75">
      <c r="A108" s="24" t="s">
        <v>139</v>
      </c>
      <c r="B108" t="s">
        <v>603</v>
      </c>
      <c r="G108" s="514">
        <f>+'CONS-P&amp;L,BS'!L138</f>
        <v>2.131600485234566</v>
      </c>
      <c r="H108" s="514"/>
      <c r="I108" s="514"/>
      <c r="J108" s="514">
        <f>+'CONS-P&amp;L,BS'!M138</f>
        <v>2.0738076266666665</v>
      </c>
      <c r="K108" s="514"/>
      <c r="L108" s="514"/>
      <c r="M108" s="10"/>
      <c r="N108" s="10"/>
      <c r="O108" s="10"/>
      <c r="P108" s="10"/>
      <c r="Q108" s="10"/>
    </row>
    <row r="109" spans="1:17" ht="12.75">
      <c r="A109" s="24"/>
      <c r="G109" s="10"/>
      <c r="H109" s="10"/>
      <c r="I109" s="10"/>
      <c r="J109" s="10"/>
      <c r="K109" s="10"/>
      <c r="L109" s="10"/>
      <c r="M109" s="10"/>
      <c r="N109" s="10"/>
      <c r="O109" s="10"/>
      <c r="P109" s="10"/>
      <c r="Q109" s="10"/>
    </row>
    <row r="110" spans="1:17" ht="12.75" hidden="1">
      <c r="A110" s="24"/>
      <c r="C110" s="376" t="s">
        <v>609</v>
      </c>
      <c r="D110" s="376"/>
      <c r="E110" s="377" t="s">
        <v>610</v>
      </c>
      <c r="F110" s="376" t="s">
        <v>607</v>
      </c>
      <c r="G110" s="378"/>
      <c r="H110" s="378"/>
      <c r="I110" s="379">
        <f>+I71+I80-I90-I107</f>
        <v>159880</v>
      </c>
      <c r="J110" s="378"/>
      <c r="K110" s="378"/>
      <c r="L110" s="379">
        <f>+L71+L80-L90-L107</f>
        <v>155547</v>
      </c>
      <c r="M110" s="379"/>
      <c r="N110" s="379"/>
      <c r="O110" s="379"/>
      <c r="P110" s="379"/>
      <c r="Q110" s="379"/>
    </row>
    <row r="111" spans="1:17" ht="12.75">
      <c r="A111" s="24"/>
      <c r="G111" s="10"/>
      <c r="H111" s="10"/>
      <c r="I111" s="10"/>
      <c r="J111" s="10"/>
      <c r="K111" s="10"/>
      <c r="L111" s="10"/>
      <c r="M111" s="10"/>
      <c r="N111" s="10"/>
      <c r="O111" s="10"/>
      <c r="P111" s="10"/>
      <c r="Q111" s="10"/>
    </row>
    <row r="112" spans="1:18" ht="7.5" customHeight="1">
      <c r="A112" s="16"/>
      <c r="B112" s="16"/>
      <c r="C112" s="16"/>
      <c r="D112" s="16"/>
      <c r="E112" s="16"/>
      <c r="F112" s="16"/>
      <c r="G112" s="19"/>
      <c r="H112" s="19"/>
      <c r="I112" s="19"/>
      <c r="J112" s="19"/>
      <c r="K112" s="19"/>
      <c r="L112" s="19"/>
      <c r="M112" s="19"/>
      <c r="N112" s="19"/>
      <c r="O112" s="19"/>
      <c r="P112" s="19"/>
      <c r="Q112" s="19"/>
      <c r="R112" s="2"/>
    </row>
    <row r="113" ht="12.75">
      <c r="A113" s="4" t="s">
        <v>185</v>
      </c>
    </row>
    <row r="114" spans="1:6" ht="12.75" customHeight="1">
      <c r="A114" s="22" t="s">
        <v>128</v>
      </c>
      <c r="B114" s="411" t="s">
        <v>69</v>
      </c>
      <c r="C114" s="410"/>
      <c r="D114" s="410"/>
      <c r="E114" s="410"/>
      <c r="F114" s="410"/>
    </row>
    <row r="115" spans="1:18" ht="12.75" customHeight="1">
      <c r="A115" s="11"/>
      <c r="B115" s="410" t="s">
        <v>581</v>
      </c>
      <c r="C115" s="410"/>
      <c r="D115" s="410"/>
      <c r="E115" s="410"/>
      <c r="F115" s="410"/>
      <c r="G115" s="410"/>
      <c r="H115" s="410"/>
      <c r="I115" s="410"/>
      <c r="J115" s="410"/>
      <c r="K115" s="410"/>
      <c r="L115" s="410"/>
      <c r="M115" s="410"/>
      <c r="N115" s="410"/>
      <c r="O115" s="410"/>
      <c r="P115" s="410"/>
      <c r="Q115" s="410"/>
      <c r="R115" s="410"/>
    </row>
    <row r="116" spans="1:18" ht="12.75">
      <c r="A116" s="11"/>
      <c r="B116" s="410"/>
      <c r="C116" s="410"/>
      <c r="D116" s="410"/>
      <c r="E116" s="410"/>
      <c r="F116" s="410"/>
      <c r="G116" s="410"/>
      <c r="H116" s="410"/>
      <c r="I116" s="410"/>
      <c r="J116" s="410"/>
      <c r="K116" s="410"/>
      <c r="L116" s="410"/>
      <c r="M116" s="410"/>
      <c r="N116" s="410"/>
      <c r="O116" s="410"/>
      <c r="P116" s="410"/>
      <c r="Q116" s="410"/>
      <c r="R116" s="410"/>
    </row>
    <row r="117" spans="1:18" ht="12.75">
      <c r="A117" s="11"/>
      <c r="B117" s="1"/>
      <c r="C117" s="1"/>
      <c r="D117" s="1"/>
      <c r="E117" s="1"/>
      <c r="F117" s="1"/>
      <c r="G117" s="1"/>
      <c r="H117" s="1"/>
      <c r="I117" s="1"/>
      <c r="J117" s="1"/>
      <c r="K117" s="1"/>
      <c r="L117" s="1"/>
      <c r="M117" s="1"/>
      <c r="N117" s="1"/>
      <c r="O117" s="1"/>
      <c r="P117" s="1"/>
      <c r="Q117" s="1"/>
      <c r="R117" s="1"/>
    </row>
    <row r="118" spans="1:5" ht="12.75">
      <c r="A118" s="22" t="s">
        <v>129</v>
      </c>
      <c r="B118" s="411" t="s">
        <v>125</v>
      </c>
      <c r="C118" s="410"/>
      <c r="D118" s="410"/>
      <c r="E118" s="410"/>
    </row>
    <row r="119" spans="1:18" ht="12.75" customHeight="1">
      <c r="A119" s="11"/>
      <c r="B119" s="410" t="s">
        <v>70</v>
      </c>
      <c r="C119" s="410"/>
      <c r="D119" s="410"/>
      <c r="E119" s="410"/>
      <c r="F119" s="410"/>
      <c r="G119" s="410"/>
      <c r="H119" s="410"/>
      <c r="I119" s="410"/>
      <c r="J119" s="410"/>
      <c r="K119" s="410"/>
      <c r="L119" s="410"/>
      <c r="M119" s="410"/>
      <c r="N119" s="410"/>
      <c r="O119" s="410"/>
      <c r="P119" s="410"/>
      <c r="Q119" s="410"/>
      <c r="R119" s="410"/>
    </row>
    <row r="120" spans="1:18" ht="12.75" customHeight="1">
      <c r="A120" s="11"/>
      <c r="B120" s="1"/>
      <c r="C120" s="1"/>
      <c r="D120" s="1"/>
      <c r="E120" s="1"/>
      <c r="F120" s="1"/>
      <c r="G120" s="1"/>
      <c r="H120" s="1"/>
      <c r="I120" s="1"/>
      <c r="J120" s="1"/>
      <c r="K120" s="1"/>
      <c r="L120" s="1"/>
      <c r="M120" s="1"/>
      <c r="N120" s="1"/>
      <c r="O120" s="1"/>
      <c r="P120" s="1"/>
      <c r="Q120" s="1"/>
      <c r="R120" s="1"/>
    </row>
    <row r="121" spans="1:5" ht="12.75">
      <c r="A121" s="22" t="s">
        <v>130</v>
      </c>
      <c r="B121" s="411" t="s">
        <v>71</v>
      </c>
      <c r="C121" s="410"/>
      <c r="D121" s="410"/>
      <c r="E121" s="410"/>
    </row>
    <row r="122" spans="1:18" ht="12.75" customHeight="1">
      <c r="A122" s="11"/>
      <c r="B122" s="410" t="s">
        <v>72</v>
      </c>
      <c r="C122" s="410"/>
      <c r="D122" s="410"/>
      <c r="E122" s="410"/>
      <c r="F122" s="410"/>
      <c r="G122" s="410"/>
      <c r="H122" s="410"/>
      <c r="I122" s="410"/>
      <c r="J122" s="410"/>
      <c r="K122" s="410"/>
      <c r="L122" s="410"/>
      <c r="M122" s="410"/>
      <c r="N122" s="410"/>
      <c r="O122" s="410"/>
      <c r="P122" s="410"/>
      <c r="Q122" s="410"/>
      <c r="R122" s="410"/>
    </row>
    <row r="123" spans="1:18" ht="12.75" customHeight="1">
      <c r="A123" s="11"/>
      <c r="B123" s="1"/>
      <c r="C123" s="1"/>
      <c r="D123" s="1"/>
      <c r="E123" s="1"/>
      <c r="F123" s="1"/>
      <c r="G123" s="1"/>
      <c r="H123" s="1"/>
      <c r="I123" s="1"/>
      <c r="J123" s="1"/>
      <c r="K123" s="1"/>
      <c r="L123" s="1"/>
      <c r="M123" s="1"/>
      <c r="N123" s="1"/>
      <c r="O123" s="1"/>
      <c r="P123" s="1"/>
      <c r="Q123" s="1"/>
      <c r="R123" s="1"/>
    </row>
    <row r="124" spans="1:4" ht="12.75" customHeight="1">
      <c r="A124" s="22" t="s">
        <v>131</v>
      </c>
      <c r="B124" s="411" t="s">
        <v>21</v>
      </c>
      <c r="C124" s="410"/>
      <c r="D124" s="410"/>
    </row>
    <row r="125" spans="1:11" ht="12.75">
      <c r="A125" s="11"/>
      <c r="H125" s="416" t="s">
        <v>73</v>
      </c>
      <c r="I125" s="416"/>
      <c r="J125" s="416" t="s">
        <v>74</v>
      </c>
      <c r="K125" s="517"/>
    </row>
    <row r="126" spans="1:11" ht="12.75">
      <c r="A126" s="11"/>
      <c r="H126" s="449" t="s">
        <v>578</v>
      </c>
      <c r="I126" s="449"/>
      <c r="J126" s="449" t="s">
        <v>578</v>
      </c>
      <c r="K126" s="413"/>
    </row>
    <row r="127" spans="1:11" ht="12.75">
      <c r="A127" s="11"/>
      <c r="H127" s="449" t="s">
        <v>1</v>
      </c>
      <c r="I127" s="449"/>
      <c r="J127" s="449" t="s">
        <v>1</v>
      </c>
      <c r="K127" s="413"/>
    </row>
    <row r="128" spans="1:3" ht="12.75">
      <c r="A128" s="11"/>
      <c r="C128" s="4" t="s">
        <v>75</v>
      </c>
    </row>
    <row r="129" spans="1:11" ht="12.75">
      <c r="A129" s="11"/>
      <c r="C129" s="385" t="s">
        <v>76</v>
      </c>
      <c r="D129" s="385"/>
      <c r="H129" s="8"/>
      <c r="I129" s="8"/>
      <c r="J129" s="8"/>
      <c r="K129" s="8"/>
    </row>
    <row r="130" spans="1:11" ht="12.75">
      <c r="A130" s="11"/>
      <c r="C130" s="518" t="s">
        <v>77</v>
      </c>
      <c r="D130" s="518"/>
      <c r="H130" s="415">
        <f>-QTR!M23</f>
        <v>2402</v>
      </c>
      <c r="I130" s="415"/>
      <c r="J130" s="415">
        <f>-QTR!M23</f>
        <v>2402</v>
      </c>
      <c r="K130" s="415"/>
    </row>
    <row r="131" spans="1:11" ht="12.75">
      <c r="A131" s="11"/>
      <c r="C131" s="417" t="s">
        <v>78</v>
      </c>
      <c r="D131" s="417"/>
      <c r="H131" s="415" t="s">
        <v>6</v>
      </c>
      <c r="I131" s="415"/>
      <c r="J131" s="415" t="s">
        <v>6</v>
      </c>
      <c r="K131" s="415"/>
    </row>
    <row r="132" spans="1:11" ht="12.75">
      <c r="A132" s="11"/>
      <c r="H132" s="41"/>
      <c r="I132" s="41"/>
      <c r="J132" s="41"/>
      <c r="K132" s="41"/>
    </row>
    <row r="133" spans="1:11" ht="12.75">
      <c r="A133" s="11"/>
      <c r="C133" t="s">
        <v>79</v>
      </c>
      <c r="H133" s="415" t="s">
        <v>6</v>
      </c>
      <c r="I133" s="415"/>
      <c r="J133" s="415" t="s">
        <v>6</v>
      </c>
      <c r="K133" s="415"/>
    </row>
    <row r="134" spans="1:11" ht="12.75">
      <c r="A134" s="11"/>
      <c r="C134" s="4" t="s">
        <v>80</v>
      </c>
      <c r="H134" s="415">
        <f>-QTR!M24</f>
        <v>375</v>
      </c>
      <c r="I134" s="415"/>
      <c r="J134" s="415">
        <f>-QTR!M24</f>
        <v>375</v>
      </c>
      <c r="K134" s="415"/>
    </row>
    <row r="135" spans="1:11" ht="13.5" thickBot="1">
      <c r="A135" s="11"/>
      <c r="C135" s="4"/>
      <c r="H135" s="543">
        <f>SUM(H130:I134)</f>
        <v>2777</v>
      </c>
      <c r="I135" s="544"/>
      <c r="J135" s="545">
        <f>SUM(J130:K134)</f>
        <v>2777</v>
      </c>
      <c r="K135" s="544"/>
    </row>
    <row r="136" spans="1:6" ht="12.75" customHeight="1" thickTop="1">
      <c r="A136" s="22" t="s">
        <v>132</v>
      </c>
      <c r="B136" s="411" t="s">
        <v>81</v>
      </c>
      <c r="C136" s="410"/>
      <c r="D136" s="410"/>
      <c r="E136" s="410"/>
      <c r="F136" s="410"/>
    </row>
    <row r="137" spans="1:18" ht="12.75" customHeight="1">
      <c r="A137" s="11"/>
      <c r="B137" s="410" t="s">
        <v>82</v>
      </c>
      <c r="C137" s="410"/>
      <c r="D137" s="410"/>
      <c r="E137" s="410"/>
      <c r="F137" s="410"/>
      <c r="G137" s="410"/>
      <c r="H137" s="410"/>
      <c r="I137" s="410"/>
      <c r="J137" s="410"/>
      <c r="K137" s="410"/>
      <c r="L137" s="410"/>
      <c r="M137" s="410"/>
      <c r="N137" s="410"/>
      <c r="O137" s="410"/>
      <c r="P137" s="410"/>
      <c r="Q137" s="410"/>
      <c r="R137" s="410"/>
    </row>
    <row r="138" spans="1:18" ht="12.75" customHeight="1">
      <c r="A138" s="11"/>
      <c r="B138" s="1"/>
      <c r="C138" s="1"/>
      <c r="D138" s="1"/>
      <c r="E138" s="1"/>
      <c r="F138" s="1"/>
      <c r="G138" s="1"/>
      <c r="H138" s="1"/>
      <c r="I138" s="1"/>
      <c r="J138" s="1"/>
      <c r="K138" s="1"/>
      <c r="L138" s="1"/>
      <c r="M138" s="1"/>
      <c r="N138" s="1"/>
      <c r="O138" s="1"/>
      <c r="P138" s="1"/>
      <c r="Q138" s="1"/>
      <c r="R138" s="1"/>
    </row>
    <row r="139" spans="1:7" ht="12.75" customHeight="1">
      <c r="A139" s="22" t="s">
        <v>133</v>
      </c>
      <c r="B139" s="411" t="s">
        <v>83</v>
      </c>
      <c r="C139" s="410"/>
      <c r="D139" s="410"/>
      <c r="E139" s="410"/>
      <c r="F139" s="410"/>
      <c r="G139" s="410"/>
    </row>
    <row r="140" spans="1:18" ht="12.75" customHeight="1">
      <c r="A140" s="11"/>
      <c r="B140" s="535" t="s">
        <v>614</v>
      </c>
      <c r="C140" s="535"/>
      <c r="D140" s="535"/>
      <c r="E140" s="535"/>
      <c r="F140" s="535"/>
      <c r="G140" s="535"/>
      <c r="H140" s="535"/>
      <c r="I140" s="535"/>
      <c r="J140" s="535"/>
      <c r="K140" s="535"/>
      <c r="L140" s="535"/>
      <c r="M140" s="535"/>
      <c r="N140" s="535"/>
      <c r="O140" s="535"/>
      <c r="P140" s="535"/>
      <c r="Q140" s="535"/>
      <c r="R140" s="535"/>
    </row>
    <row r="141" spans="1:18" ht="12.75">
      <c r="A141" s="11"/>
      <c r="B141" s="535"/>
      <c r="C141" s="535"/>
      <c r="D141" s="535"/>
      <c r="E141" s="535"/>
      <c r="F141" s="535"/>
      <c r="G141" s="535"/>
      <c r="H141" s="535"/>
      <c r="I141" s="535"/>
      <c r="J141" s="535"/>
      <c r="K141" s="535"/>
      <c r="L141" s="535"/>
      <c r="M141" s="535"/>
      <c r="N141" s="535"/>
      <c r="O141" s="535"/>
      <c r="P141" s="535"/>
      <c r="Q141" s="535"/>
      <c r="R141" s="535"/>
    </row>
    <row r="142" spans="1:18" ht="12.75">
      <c r="A142" s="11"/>
      <c r="C142" s="1"/>
      <c r="D142" s="1"/>
      <c r="E142" s="1"/>
      <c r="F142" s="1"/>
      <c r="G142" s="1"/>
      <c r="H142" s="1"/>
      <c r="I142" s="1"/>
      <c r="J142" s="1"/>
      <c r="K142" s="1"/>
      <c r="L142" s="1"/>
      <c r="M142" s="1"/>
      <c r="N142" s="1"/>
      <c r="O142" s="1"/>
      <c r="P142" s="1"/>
      <c r="Q142" s="1"/>
      <c r="R142" s="1"/>
    </row>
    <row r="143" spans="1:18" ht="12.75" customHeight="1">
      <c r="A143" s="11"/>
      <c r="B143" s="1"/>
      <c r="C143" s="1"/>
      <c r="D143" s="1"/>
      <c r="E143" s="1"/>
      <c r="F143" s="1"/>
      <c r="G143" s="1"/>
      <c r="H143" s="1"/>
      <c r="I143" s="1"/>
      <c r="J143" s="1"/>
      <c r="K143" s="1"/>
      <c r="L143" s="1"/>
      <c r="M143" s="1"/>
      <c r="N143" s="1"/>
      <c r="O143" s="1"/>
      <c r="P143" s="1"/>
      <c r="Q143" s="1"/>
      <c r="R143" s="1"/>
    </row>
    <row r="144" spans="1:6" ht="12.75" customHeight="1">
      <c r="A144" s="22" t="s">
        <v>134</v>
      </c>
      <c r="B144" s="411" t="s">
        <v>84</v>
      </c>
      <c r="C144" s="410"/>
      <c r="D144" s="410"/>
      <c r="E144" s="410"/>
      <c r="F144" s="410"/>
    </row>
    <row r="145" spans="1:18" ht="12.75" customHeight="1">
      <c r="A145" s="11"/>
      <c r="B145" s="410" t="s">
        <v>85</v>
      </c>
      <c r="C145" s="410"/>
      <c r="D145" s="410"/>
      <c r="E145" s="410"/>
      <c r="F145" s="410"/>
      <c r="G145" s="410"/>
      <c r="H145" s="410"/>
      <c r="I145" s="410"/>
      <c r="J145" s="410"/>
      <c r="K145" s="410"/>
      <c r="L145" s="410"/>
      <c r="M145" s="410"/>
      <c r="N145" s="410"/>
      <c r="O145" s="410"/>
      <c r="P145" s="410"/>
      <c r="Q145" s="410"/>
      <c r="R145" s="410"/>
    </row>
    <row r="146" spans="1:18" ht="12.75" customHeight="1">
      <c r="A146" s="11"/>
      <c r="B146" s="1"/>
      <c r="C146" s="1"/>
      <c r="D146" s="1"/>
      <c r="E146" s="1"/>
      <c r="F146" s="1"/>
      <c r="G146" s="1"/>
      <c r="H146" s="1"/>
      <c r="I146" s="1"/>
      <c r="J146" s="1"/>
      <c r="K146" s="1"/>
      <c r="L146" s="1"/>
      <c r="M146" s="1"/>
      <c r="N146" s="1"/>
      <c r="O146" s="1"/>
      <c r="P146" s="1"/>
      <c r="Q146" s="1"/>
      <c r="R146" s="1"/>
    </row>
    <row r="147" spans="1:18" ht="12.75" customHeight="1">
      <c r="A147" s="11"/>
      <c r="B147" s="1"/>
      <c r="C147" s="1"/>
      <c r="D147" s="1"/>
      <c r="E147" s="1"/>
      <c r="F147" s="1"/>
      <c r="G147" s="1"/>
      <c r="H147" s="1"/>
      <c r="I147" s="1"/>
      <c r="J147" s="1"/>
      <c r="K147" s="1"/>
      <c r="L147" s="1"/>
      <c r="M147" s="1"/>
      <c r="N147" s="1"/>
      <c r="O147" s="1"/>
      <c r="P147" s="1"/>
      <c r="Q147" s="1"/>
      <c r="R147" s="1"/>
    </row>
    <row r="148" spans="1:9" ht="12.75" customHeight="1">
      <c r="A148" s="22" t="s">
        <v>135</v>
      </c>
      <c r="B148" s="411" t="s">
        <v>86</v>
      </c>
      <c r="C148" s="410"/>
      <c r="D148" s="410"/>
      <c r="E148" s="410"/>
      <c r="F148" s="410"/>
      <c r="G148" s="410"/>
      <c r="H148" s="410"/>
      <c r="I148" s="410"/>
    </row>
    <row r="149" spans="1:18" ht="12.75" customHeight="1">
      <c r="A149" s="11"/>
      <c r="B149" s="516" t="s">
        <v>611</v>
      </c>
      <c r="C149" s="516"/>
      <c r="D149" s="516"/>
      <c r="E149" s="516"/>
      <c r="F149" s="516"/>
      <c r="G149" s="516"/>
      <c r="H149" s="516"/>
      <c r="I149" s="516"/>
      <c r="J149" s="516"/>
      <c r="K149" s="516"/>
      <c r="L149" s="516"/>
      <c r="M149" s="516"/>
      <c r="N149" s="516"/>
      <c r="O149" s="516"/>
      <c r="P149" s="516"/>
      <c r="Q149" s="516"/>
      <c r="R149" s="516"/>
    </row>
    <row r="150" spans="1:18" ht="12.75">
      <c r="A150" s="11"/>
      <c r="B150" s="516"/>
      <c r="C150" s="516"/>
      <c r="D150" s="516"/>
      <c r="E150" s="516"/>
      <c r="F150" s="516"/>
      <c r="G150" s="516"/>
      <c r="H150" s="516"/>
      <c r="I150" s="516"/>
      <c r="J150" s="516"/>
      <c r="K150" s="516"/>
      <c r="L150" s="516"/>
      <c r="M150" s="516"/>
      <c r="N150" s="516"/>
      <c r="O150" s="516"/>
      <c r="P150" s="516"/>
      <c r="Q150" s="516"/>
      <c r="R150" s="516"/>
    </row>
    <row r="151" spans="1:18" ht="12.75" customHeight="1">
      <c r="A151" s="11"/>
      <c r="B151" s="410"/>
      <c r="C151" s="410"/>
      <c r="D151" s="410"/>
      <c r="E151" s="410"/>
      <c r="F151" s="410"/>
      <c r="G151" s="410"/>
      <c r="H151" s="410"/>
      <c r="I151" s="410"/>
      <c r="J151" s="410"/>
      <c r="K151" s="410"/>
      <c r="L151" s="410"/>
      <c r="M151" s="410"/>
      <c r="N151" s="410"/>
      <c r="O151" s="410"/>
      <c r="P151" s="410"/>
      <c r="Q151" s="410"/>
      <c r="R151" s="410"/>
    </row>
    <row r="152" spans="1:18" ht="12.75" customHeight="1">
      <c r="A152" s="11"/>
      <c r="B152" s="1"/>
      <c r="C152" s="1"/>
      <c r="D152" s="1"/>
      <c r="E152" s="1"/>
      <c r="F152" s="1"/>
      <c r="G152" s="1"/>
      <c r="H152" s="1"/>
      <c r="I152" s="1"/>
      <c r="J152" s="1"/>
      <c r="K152" s="1"/>
      <c r="L152" s="1"/>
      <c r="M152" s="1"/>
      <c r="N152" s="1"/>
      <c r="O152" s="1"/>
      <c r="P152" s="1"/>
      <c r="Q152" s="1"/>
      <c r="R152" s="1"/>
    </row>
    <row r="153" spans="1:18" ht="12.75" customHeight="1">
      <c r="A153" s="11"/>
      <c r="B153" s="1"/>
      <c r="C153" s="1"/>
      <c r="D153" s="1"/>
      <c r="E153" s="1"/>
      <c r="F153" s="1"/>
      <c r="G153" s="1"/>
      <c r="H153" s="1"/>
      <c r="I153" s="1"/>
      <c r="J153" s="1"/>
      <c r="K153" s="1"/>
      <c r="L153" s="1"/>
      <c r="M153" s="1"/>
      <c r="N153" s="1"/>
      <c r="O153" s="1"/>
      <c r="P153" s="1"/>
      <c r="Q153" s="1"/>
      <c r="R153" s="1"/>
    </row>
    <row r="154" spans="1:6" ht="12.75" customHeight="1">
      <c r="A154" s="22" t="s">
        <v>136</v>
      </c>
      <c r="B154" s="411" t="s">
        <v>87</v>
      </c>
      <c r="C154" s="411"/>
      <c r="D154" s="411"/>
      <c r="E154" s="411"/>
      <c r="F154" s="411"/>
    </row>
    <row r="155" spans="1:18" ht="12.75" customHeight="1">
      <c r="A155" s="11"/>
      <c r="B155" s="408" t="s">
        <v>652</v>
      </c>
      <c r="C155" s="408"/>
      <c r="D155" s="408"/>
      <c r="E155" s="408"/>
      <c r="F155" s="408"/>
      <c r="G155" s="408"/>
      <c r="H155" s="408"/>
      <c r="I155" s="408"/>
      <c r="J155" s="408"/>
      <c r="K155" s="408"/>
      <c r="L155" s="408"/>
      <c r="M155" s="408"/>
      <c r="N155" s="408"/>
      <c r="O155" s="408"/>
      <c r="P155" s="408"/>
      <c r="Q155" s="408"/>
      <c r="R155" s="408"/>
    </row>
    <row r="156" spans="1:18" ht="12.75" customHeight="1">
      <c r="A156" s="11"/>
      <c r="B156" s="408"/>
      <c r="C156" s="408"/>
      <c r="D156" s="408"/>
      <c r="E156" s="408"/>
      <c r="F156" s="408"/>
      <c r="G156" s="408"/>
      <c r="H156" s="408"/>
      <c r="I156" s="408"/>
      <c r="J156" s="408"/>
      <c r="K156" s="408"/>
      <c r="L156" s="408"/>
      <c r="M156" s="408"/>
      <c r="N156" s="408"/>
      <c r="O156" s="408"/>
      <c r="P156" s="408"/>
      <c r="Q156" s="408"/>
      <c r="R156" s="408"/>
    </row>
    <row r="157" spans="1:18" ht="12.75" customHeight="1">
      <c r="A157" s="11"/>
      <c r="B157" s="408"/>
      <c r="C157" s="408"/>
      <c r="D157" s="408"/>
      <c r="E157" s="408"/>
      <c r="F157" s="408"/>
      <c r="G157" s="408"/>
      <c r="H157" s="408"/>
      <c r="I157" s="408"/>
      <c r="J157" s="408"/>
      <c r="K157" s="408"/>
      <c r="L157" s="408"/>
      <c r="M157" s="408"/>
      <c r="N157" s="408"/>
      <c r="O157" s="408"/>
      <c r="P157" s="408"/>
      <c r="Q157" s="408"/>
      <c r="R157" s="408"/>
    </row>
    <row r="158" spans="1:18" ht="12.75" customHeight="1">
      <c r="A158" s="11"/>
      <c r="B158" s="408"/>
      <c r="C158" s="408"/>
      <c r="D158" s="408"/>
      <c r="E158" s="408"/>
      <c r="F158" s="408"/>
      <c r="G158" s="408"/>
      <c r="H158" s="408"/>
      <c r="I158" s="408"/>
      <c r="J158" s="408"/>
      <c r="K158" s="408"/>
      <c r="L158" s="408"/>
      <c r="M158" s="408"/>
      <c r="N158" s="408"/>
      <c r="O158" s="408"/>
      <c r="P158" s="408"/>
      <c r="Q158" s="408"/>
      <c r="R158" s="408"/>
    </row>
    <row r="159" spans="1:18" ht="12.75" customHeight="1">
      <c r="A159" s="11"/>
      <c r="B159" s="408"/>
      <c r="C159" s="408"/>
      <c r="D159" s="408"/>
      <c r="E159" s="408"/>
      <c r="F159" s="408"/>
      <c r="G159" s="408"/>
      <c r="H159" s="408"/>
      <c r="I159" s="408"/>
      <c r="J159" s="408"/>
      <c r="K159" s="408"/>
      <c r="L159" s="408"/>
      <c r="M159" s="408"/>
      <c r="N159" s="408"/>
      <c r="O159" s="408"/>
      <c r="P159" s="408"/>
      <c r="Q159" s="408"/>
      <c r="R159" s="408"/>
    </row>
    <row r="160" spans="1:18" ht="12.75" customHeight="1">
      <c r="A160" s="11"/>
      <c r="B160" s="408"/>
      <c r="C160" s="408"/>
      <c r="D160" s="408"/>
      <c r="E160" s="408"/>
      <c r="F160" s="408"/>
      <c r="G160" s="408"/>
      <c r="H160" s="408"/>
      <c r="I160" s="408"/>
      <c r="J160" s="408"/>
      <c r="K160" s="408"/>
      <c r="L160" s="408"/>
      <c r="M160" s="408"/>
      <c r="N160" s="408"/>
      <c r="O160" s="408"/>
      <c r="P160" s="408"/>
      <c r="Q160" s="408"/>
      <c r="R160" s="408"/>
    </row>
    <row r="161" spans="1:18" ht="6" customHeight="1">
      <c r="A161" s="11"/>
      <c r="B161" s="1"/>
      <c r="C161" s="1"/>
      <c r="D161" s="1"/>
      <c r="E161" s="1"/>
      <c r="F161" s="1"/>
      <c r="G161" s="1"/>
      <c r="H161" s="1"/>
      <c r="I161" s="1"/>
      <c r="J161" s="1"/>
      <c r="K161" s="1"/>
      <c r="L161" s="1"/>
      <c r="M161" s="1"/>
      <c r="N161" s="1"/>
      <c r="O161" s="1"/>
      <c r="P161" s="1"/>
      <c r="Q161" s="1"/>
      <c r="R161" s="1"/>
    </row>
    <row r="162" spans="1:18" ht="7.5" customHeight="1">
      <c r="A162" s="16"/>
      <c r="B162" s="16"/>
      <c r="C162" s="16"/>
      <c r="D162" s="16"/>
      <c r="E162" s="16"/>
      <c r="F162" s="16"/>
      <c r="G162" s="19"/>
      <c r="H162" s="19"/>
      <c r="I162" s="19"/>
      <c r="J162" s="19"/>
      <c r="K162" s="19"/>
      <c r="L162" s="19"/>
      <c r="M162" s="19"/>
      <c r="N162" s="19"/>
      <c r="O162" s="19"/>
      <c r="P162" s="19"/>
      <c r="Q162" s="19"/>
      <c r="R162" s="43"/>
    </row>
    <row r="163" spans="1:32" ht="12.75" customHeight="1">
      <c r="A163" s="22" t="s">
        <v>137</v>
      </c>
      <c r="B163" s="411" t="s">
        <v>88</v>
      </c>
      <c r="C163" s="410"/>
      <c r="D163" s="410"/>
      <c r="E163" s="410"/>
      <c r="F163" s="410"/>
      <c r="G163" s="410"/>
      <c r="H163" s="410"/>
      <c r="T163" s="11"/>
      <c r="U163" s="410"/>
      <c r="V163" s="410"/>
      <c r="W163" s="410"/>
      <c r="X163" s="410"/>
      <c r="Y163" s="410"/>
      <c r="Z163" s="410"/>
      <c r="AA163" s="410"/>
      <c r="AB163" s="410"/>
      <c r="AC163" s="410"/>
      <c r="AD163" s="410"/>
      <c r="AE163" s="410"/>
      <c r="AF163" s="410"/>
    </row>
    <row r="164" spans="1:32" ht="12.75">
      <c r="A164" s="11"/>
      <c r="B164" s="408" t="s">
        <v>187</v>
      </c>
      <c r="C164" s="408"/>
      <c r="D164" s="408"/>
      <c r="E164" s="408"/>
      <c r="F164" s="408"/>
      <c r="G164" s="408"/>
      <c r="H164" s="408"/>
      <c r="I164" s="408"/>
      <c r="J164" s="408"/>
      <c r="K164" s="408"/>
      <c r="L164" s="408"/>
      <c r="M164" s="408"/>
      <c r="N164" s="408"/>
      <c r="O164" s="408"/>
      <c r="P164" s="408"/>
      <c r="Q164" s="408"/>
      <c r="R164" s="408"/>
      <c r="T164" s="11"/>
      <c r="U164" s="1"/>
      <c r="V164" s="1"/>
      <c r="W164" s="1"/>
      <c r="X164" s="1"/>
      <c r="Y164" s="1"/>
      <c r="Z164" s="1"/>
      <c r="AA164" s="1"/>
      <c r="AB164" s="1"/>
      <c r="AC164" s="1"/>
      <c r="AD164" s="1"/>
      <c r="AE164" s="1"/>
      <c r="AF164" s="1"/>
    </row>
    <row r="165" spans="1:32" ht="12.75">
      <c r="A165" s="11"/>
      <c r="B165" s="408"/>
      <c r="C165" s="408"/>
      <c r="D165" s="408"/>
      <c r="E165" s="408"/>
      <c r="F165" s="408"/>
      <c r="G165" s="408"/>
      <c r="H165" s="408"/>
      <c r="I165" s="408"/>
      <c r="J165" s="408"/>
      <c r="K165" s="408"/>
      <c r="L165" s="408"/>
      <c r="M165" s="408"/>
      <c r="N165" s="408"/>
      <c r="O165" s="408"/>
      <c r="P165" s="408"/>
      <c r="Q165" s="408"/>
      <c r="R165" s="408"/>
      <c r="T165" s="11"/>
      <c r="U165" s="1"/>
      <c r="V165" s="1"/>
      <c r="W165" s="1"/>
      <c r="X165" s="1"/>
      <c r="Y165" s="1"/>
      <c r="Z165" s="1"/>
      <c r="AA165" s="1"/>
      <c r="AB165" s="1"/>
      <c r="AC165" s="1"/>
      <c r="AD165" s="1"/>
      <c r="AE165" s="1"/>
      <c r="AF165" s="1"/>
    </row>
    <row r="166" spans="1:26" ht="12.75">
      <c r="A166" s="11"/>
      <c r="B166" s="1"/>
      <c r="C166" s="1"/>
      <c r="D166" s="1"/>
      <c r="E166" s="1"/>
      <c r="F166" s="1"/>
      <c r="G166" s="1"/>
      <c r="H166" s="1"/>
      <c r="I166" s="1"/>
      <c r="J166" s="1"/>
      <c r="K166" s="1"/>
      <c r="L166" s="1"/>
      <c r="M166" s="1"/>
      <c r="N166" s="1"/>
      <c r="O166" s="1"/>
      <c r="P166" s="1"/>
      <c r="Q166" s="1"/>
      <c r="R166" s="1"/>
      <c r="T166" s="22"/>
      <c r="U166" s="411"/>
      <c r="V166" s="410"/>
      <c r="W166" s="410"/>
      <c r="X166" s="410"/>
      <c r="Y166" s="410"/>
      <c r="Z166" s="410"/>
    </row>
    <row r="167" spans="1:32" ht="12.75" customHeight="1">
      <c r="A167" s="22" t="s">
        <v>138</v>
      </c>
      <c r="B167" s="411" t="s">
        <v>89</v>
      </c>
      <c r="C167" s="410"/>
      <c r="D167" s="410"/>
      <c r="E167" s="410"/>
      <c r="F167" s="410"/>
      <c r="G167" s="410"/>
      <c r="T167" s="11"/>
      <c r="U167" s="410"/>
      <c r="V167" s="410"/>
      <c r="W167" s="410"/>
      <c r="X167" s="410"/>
      <c r="Y167" s="410"/>
      <c r="Z167" s="410"/>
      <c r="AA167" s="410"/>
      <c r="AB167" s="410"/>
      <c r="AC167" s="410"/>
      <c r="AD167" s="410"/>
      <c r="AE167" s="410"/>
      <c r="AF167" s="410"/>
    </row>
    <row r="168" spans="1:32" ht="12.75" customHeight="1">
      <c r="A168" s="11"/>
      <c r="B168" s="410" t="s">
        <v>90</v>
      </c>
      <c r="C168" s="410"/>
      <c r="D168" s="410"/>
      <c r="E168" s="410"/>
      <c r="F168" s="410"/>
      <c r="G168" s="410"/>
      <c r="H168" s="410"/>
      <c r="I168" s="410"/>
      <c r="J168" s="410"/>
      <c r="K168" s="410"/>
      <c r="L168" s="410"/>
      <c r="M168" s="410"/>
      <c r="N168" s="410"/>
      <c r="O168" s="410"/>
      <c r="P168" s="410"/>
      <c r="Q168" s="410"/>
      <c r="R168" s="410"/>
      <c r="T168" s="11"/>
      <c r="U168" s="410"/>
      <c r="V168" s="410"/>
      <c r="W168" s="410"/>
      <c r="X168" s="410"/>
      <c r="Y168" s="410"/>
      <c r="Z168" s="410"/>
      <c r="AA168" s="410"/>
      <c r="AB168" s="410"/>
      <c r="AC168" s="410"/>
      <c r="AD168" s="410"/>
      <c r="AE168" s="410"/>
      <c r="AF168" s="410"/>
    </row>
    <row r="169" spans="1:32" ht="12.75">
      <c r="A169" s="11"/>
      <c r="B169" s="410"/>
      <c r="C169" s="410"/>
      <c r="D169" s="410"/>
      <c r="E169" s="410"/>
      <c r="F169" s="410"/>
      <c r="G169" s="410"/>
      <c r="H169" s="410"/>
      <c r="I169" s="410"/>
      <c r="J169" s="410"/>
      <c r="K169" s="410"/>
      <c r="L169" s="410"/>
      <c r="M169" s="410"/>
      <c r="N169" s="410"/>
      <c r="O169" s="410"/>
      <c r="P169" s="410"/>
      <c r="Q169" s="410"/>
      <c r="R169" s="410"/>
      <c r="T169" s="11"/>
      <c r="U169" s="2"/>
      <c r="V169" s="2"/>
      <c r="W169" s="2"/>
      <c r="X169" s="2"/>
      <c r="Y169" s="2"/>
      <c r="Z169" s="2"/>
      <c r="AA169" s="2"/>
      <c r="AB169" s="2"/>
      <c r="AC169" s="2"/>
      <c r="AD169" s="2"/>
      <c r="AE169" s="2"/>
      <c r="AF169" s="2"/>
    </row>
    <row r="170" spans="1:27" ht="12.75">
      <c r="A170" s="11"/>
      <c r="B170" s="2"/>
      <c r="C170" s="2"/>
      <c r="D170" s="2"/>
      <c r="E170" s="2"/>
      <c r="F170" s="2"/>
      <c r="G170" s="2"/>
      <c r="H170" s="2"/>
      <c r="I170" s="2"/>
      <c r="J170" s="2"/>
      <c r="K170" s="2"/>
      <c r="L170" s="2"/>
      <c r="M170" s="2"/>
      <c r="N170" s="2"/>
      <c r="O170" s="2"/>
      <c r="P170" s="2"/>
      <c r="Q170" s="2"/>
      <c r="R170" s="2"/>
      <c r="T170" s="22"/>
      <c r="U170" s="411"/>
      <c r="V170" s="410"/>
      <c r="W170" s="410"/>
      <c r="X170" s="410"/>
      <c r="Y170" s="410"/>
      <c r="Z170" s="410"/>
      <c r="AA170" s="410"/>
    </row>
    <row r="171" spans="1:8" ht="12.75">
      <c r="A171" s="22" t="s">
        <v>139</v>
      </c>
      <c r="B171" s="411" t="s">
        <v>92</v>
      </c>
      <c r="C171" s="410"/>
      <c r="D171" s="410"/>
      <c r="E171" s="410"/>
      <c r="F171" s="410"/>
      <c r="G171" s="410"/>
      <c r="H171" s="410"/>
    </row>
    <row r="172" spans="1:18" ht="12.75" customHeight="1">
      <c r="A172" s="11"/>
      <c r="B172" s="410" t="s">
        <v>91</v>
      </c>
      <c r="C172" s="410"/>
      <c r="D172" s="410"/>
      <c r="E172" s="410"/>
      <c r="F172" s="410"/>
      <c r="G172" s="410"/>
      <c r="H172" s="410"/>
      <c r="I172" s="410"/>
      <c r="J172" s="410"/>
      <c r="K172" s="410"/>
      <c r="L172" s="410"/>
      <c r="M172" s="410"/>
      <c r="N172" s="410"/>
      <c r="O172" s="410"/>
      <c r="P172" s="410"/>
      <c r="Q172" s="410"/>
      <c r="R172" s="410"/>
    </row>
    <row r="173" ht="12.75" customHeight="1">
      <c r="A173" s="11"/>
    </row>
    <row r="174" spans="1:11" ht="12.75">
      <c r="A174" s="11"/>
      <c r="G174" s="416" t="s">
        <v>49</v>
      </c>
      <c r="H174" s="517"/>
      <c r="J174" s="416" t="s">
        <v>67</v>
      </c>
      <c r="K174" s="517"/>
    </row>
    <row r="175" spans="1:11" ht="12.75">
      <c r="A175" s="11"/>
      <c r="G175" s="517"/>
      <c r="H175" s="517"/>
      <c r="J175" s="517"/>
      <c r="K175" s="517"/>
    </row>
    <row r="176" spans="1:11" ht="12.75">
      <c r="A176" s="11"/>
      <c r="G176" s="384" t="s">
        <v>93</v>
      </c>
      <c r="H176" s="384"/>
      <c r="J176" s="384" t="s">
        <v>93</v>
      </c>
      <c r="K176" s="384"/>
    </row>
    <row r="177" spans="1:6" ht="12.75">
      <c r="A177" s="11"/>
      <c r="C177" s="411" t="s">
        <v>122</v>
      </c>
      <c r="D177" s="410"/>
      <c r="E177" s="410"/>
      <c r="F177" s="410"/>
    </row>
    <row r="178" spans="1:6" ht="12.75">
      <c r="A178" s="11"/>
      <c r="C178" s="411" t="s">
        <v>123</v>
      </c>
      <c r="D178" s="410"/>
      <c r="E178" s="410"/>
      <c r="F178" s="410"/>
    </row>
    <row r="179" spans="1:11" ht="12.75">
      <c r="A179" s="11"/>
      <c r="C179" t="s">
        <v>94</v>
      </c>
      <c r="G179" s="519">
        <f>+G83</f>
        <v>835</v>
      </c>
      <c r="H179" s="519"/>
      <c r="I179" s="8"/>
      <c r="J179" s="519">
        <f>+G104-9384</f>
        <v>30000</v>
      </c>
      <c r="K179" s="519"/>
    </row>
    <row r="180" spans="1:11" ht="12.75" hidden="1">
      <c r="A180" s="11"/>
      <c r="C180" t="s">
        <v>95</v>
      </c>
      <c r="G180" s="522">
        <v>0</v>
      </c>
      <c r="H180" s="522"/>
      <c r="I180" s="31"/>
      <c r="J180" s="539">
        <v>0</v>
      </c>
      <c r="K180" s="539"/>
    </row>
    <row r="181" spans="1:11" ht="12.75" hidden="1">
      <c r="A181" s="11"/>
      <c r="G181" s="515">
        <f>SUM(G179:H180)</f>
        <v>835</v>
      </c>
      <c r="H181" s="515"/>
      <c r="I181" s="8"/>
      <c r="J181" s="515">
        <v>30000</v>
      </c>
      <c r="K181" s="515"/>
    </row>
    <row r="182" spans="1:11" ht="12.75">
      <c r="A182" s="11"/>
      <c r="C182" s="411" t="s">
        <v>122</v>
      </c>
      <c r="D182" s="410"/>
      <c r="E182" s="410"/>
      <c r="F182" s="410"/>
      <c r="G182" s="8"/>
      <c r="H182" s="8"/>
      <c r="I182" s="8"/>
      <c r="J182" s="8"/>
      <c r="K182" s="8"/>
    </row>
    <row r="183" spans="1:11" ht="12.75">
      <c r="A183" s="11"/>
      <c r="C183" s="411" t="s">
        <v>124</v>
      </c>
      <c r="D183" s="410"/>
      <c r="E183" s="410"/>
      <c r="F183" s="410"/>
      <c r="G183" s="8"/>
      <c r="H183" s="8"/>
      <c r="I183" s="8"/>
      <c r="J183" s="8"/>
      <c r="K183" s="8"/>
    </row>
    <row r="184" spans="1:11" ht="12.75">
      <c r="A184" s="11"/>
      <c r="C184" t="s">
        <v>121</v>
      </c>
      <c r="G184" s="520">
        <v>0</v>
      </c>
      <c r="H184" s="520"/>
      <c r="I184" s="8"/>
      <c r="J184" s="521">
        <v>9384</v>
      </c>
      <c r="K184" s="521"/>
    </row>
    <row r="185" spans="1:11" ht="13.5" thickBot="1">
      <c r="A185" s="11"/>
      <c r="G185" s="542">
        <f>SUM(G181:H184)</f>
        <v>835</v>
      </c>
      <c r="H185" s="542"/>
      <c r="I185" s="362"/>
      <c r="J185" s="542">
        <f>SUM(J181:K184)</f>
        <v>39384</v>
      </c>
      <c r="K185" s="542"/>
    </row>
    <row r="186" ht="13.5" thickTop="1">
      <c r="A186" s="11"/>
    </row>
    <row r="187" spans="1:6" ht="12.75" customHeight="1">
      <c r="A187" s="22" t="s">
        <v>140</v>
      </c>
      <c r="B187" s="411" t="s">
        <v>120</v>
      </c>
      <c r="C187" s="410"/>
      <c r="D187" s="410"/>
      <c r="E187" s="410"/>
      <c r="F187" s="410"/>
    </row>
    <row r="188" spans="1:18" ht="12.75" customHeight="1">
      <c r="A188" s="11"/>
      <c r="B188" s="410" t="s">
        <v>650</v>
      </c>
      <c r="C188" s="410"/>
      <c r="D188" s="410"/>
      <c r="E188" s="410"/>
      <c r="F188" s="410"/>
      <c r="G188" s="410"/>
      <c r="H188" s="410"/>
      <c r="I188" s="410"/>
      <c r="J188" s="410"/>
      <c r="K188" s="410"/>
      <c r="L188" s="410"/>
      <c r="M188" s="410"/>
      <c r="N188" s="410"/>
      <c r="O188" s="410"/>
      <c r="P188" s="410"/>
      <c r="Q188" s="410"/>
      <c r="R188" s="410"/>
    </row>
    <row r="189" spans="1:18" ht="12.75">
      <c r="A189" s="11"/>
      <c r="B189" s="410"/>
      <c r="C189" s="410"/>
      <c r="D189" s="410"/>
      <c r="E189" s="410"/>
      <c r="F189" s="410"/>
      <c r="G189" s="410"/>
      <c r="H189" s="410"/>
      <c r="I189" s="410"/>
      <c r="J189" s="410"/>
      <c r="K189" s="410"/>
      <c r="L189" s="410"/>
      <c r="M189" s="410"/>
      <c r="N189" s="410"/>
      <c r="O189" s="410"/>
      <c r="P189" s="410"/>
      <c r="Q189" s="410"/>
      <c r="R189" s="410"/>
    </row>
    <row r="190" spans="1:18" ht="12.75">
      <c r="A190" s="11"/>
      <c r="B190" s="1"/>
      <c r="C190" s="1"/>
      <c r="D190" s="1"/>
      <c r="E190" s="1"/>
      <c r="F190" s="1"/>
      <c r="G190" s="1"/>
      <c r="H190" s="1"/>
      <c r="I190" s="1"/>
      <c r="J190" s="1"/>
      <c r="K190" s="1"/>
      <c r="L190" s="1"/>
      <c r="M190" s="1"/>
      <c r="N190" s="1"/>
      <c r="O190" s="1"/>
      <c r="P190" s="1"/>
      <c r="Q190" s="1"/>
      <c r="R190" s="1"/>
    </row>
    <row r="191" spans="1:18" ht="12.75">
      <c r="A191" s="11"/>
      <c r="B191" s="1"/>
      <c r="C191" s="1"/>
      <c r="D191" s="1"/>
      <c r="E191" s="1"/>
      <c r="F191" s="1"/>
      <c r="G191" s="1"/>
      <c r="H191" s="1"/>
      <c r="I191" s="1"/>
      <c r="J191" s="1"/>
      <c r="K191" s="1"/>
      <c r="L191" s="1"/>
      <c r="M191" s="1"/>
      <c r="N191" s="1"/>
      <c r="O191" s="1"/>
      <c r="P191" s="1"/>
      <c r="Q191" s="1"/>
      <c r="R191" s="1"/>
    </row>
    <row r="192" spans="1:18" ht="12.75">
      <c r="A192" s="22" t="s">
        <v>141</v>
      </c>
      <c r="B192" s="411" t="s">
        <v>119</v>
      </c>
      <c r="C192" s="412"/>
      <c r="D192" s="412"/>
      <c r="E192" s="412"/>
      <c r="F192" s="412"/>
      <c r="G192" s="412"/>
      <c r="H192" s="412"/>
      <c r="I192" s="412"/>
      <c r="J192" s="412"/>
      <c r="K192" s="26"/>
      <c r="L192" s="26"/>
      <c r="M192" s="26"/>
      <c r="N192" s="26"/>
      <c r="O192" s="26"/>
      <c r="P192" s="26"/>
      <c r="Q192" s="26"/>
      <c r="R192" s="26"/>
    </row>
    <row r="193" spans="1:18" ht="12.75">
      <c r="A193" s="11"/>
      <c r="B193" s="412"/>
      <c r="C193" s="412"/>
      <c r="D193" s="412"/>
      <c r="E193" s="412"/>
      <c r="F193" s="412"/>
      <c r="G193" s="412"/>
      <c r="H193" s="412"/>
      <c r="I193" s="412"/>
      <c r="J193" s="412"/>
      <c r="K193" s="412"/>
      <c r="L193" s="412"/>
      <c r="M193" s="412"/>
      <c r="N193" s="412"/>
      <c r="O193" s="412"/>
      <c r="P193" s="412"/>
      <c r="Q193" s="412"/>
      <c r="R193" s="412"/>
    </row>
    <row r="194" spans="1:18" ht="12.75">
      <c r="A194" s="11"/>
      <c r="B194" s="390" t="s">
        <v>179</v>
      </c>
      <c r="C194" s="412" t="s">
        <v>183</v>
      </c>
      <c r="D194" s="412"/>
      <c r="E194" s="412"/>
      <c r="F194" s="412"/>
      <c r="G194" s="412"/>
      <c r="H194" s="412"/>
      <c r="I194" s="412"/>
      <c r="J194" s="412"/>
      <c r="K194" s="412"/>
      <c r="L194" s="412"/>
      <c r="M194" s="412"/>
      <c r="N194" s="412"/>
      <c r="O194" s="412"/>
      <c r="P194" s="412"/>
      <c r="Q194" s="412"/>
      <c r="R194" s="412"/>
    </row>
    <row r="195" spans="1:18" ht="12.75">
      <c r="A195" s="11"/>
      <c r="B195" s="26"/>
      <c r="C195" s="26"/>
      <c r="D195" s="26"/>
      <c r="E195" s="26"/>
      <c r="F195" s="26"/>
      <c r="G195" s="26"/>
      <c r="H195" s="26"/>
      <c r="I195" s="26"/>
      <c r="J195" s="26"/>
      <c r="K195" s="26"/>
      <c r="L195" s="26"/>
      <c r="M195" s="26"/>
      <c r="N195" s="26"/>
      <c r="O195" s="26"/>
      <c r="P195" s="26"/>
      <c r="Q195" s="26"/>
      <c r="R195" s="26"/>
    </row>
    <row r="196" spans="1:18" ht="12.75">
      <c r="A196" s="11"/>
      <c r="B196" s="26"/>
      <c r="C196" s="540" t="s">
        <v>180</v>
      </c>
      <c r="D196" s="541"/>
      <c r="E196" s="536" t="s">
        <v>186</v>
      </c>
      <c r="F196" s="536"/>
      <c r="G196" s="534" t="s">
        <v>181</v>
      </c>
      <c r="H196" s="534"/>
      <c r="I196" s="534"/>
      <c r="J196" s="534" t="s">
        <v>182</v>
      </c>
      <c r="K196" s="534"/>
      <c r="L196" s="534"/>
      <c r="M196" s="405"/>
      <c r="N196" s="405"/>
      <c r="O196" s="405"/>
      <c r="P196" s="405"/>
      <c r="Q196" s="405"/>
      <c r="R196" s="26"/>
    </row>
    <row r="197" spans="1:18" ht="12.75">
      <c r="A197" s="11"/>
      <c r="B197" s="26"/>
      <c r="C197" s="391"/>
      <c r="D197" s="260"/>
      <c r="E197" s="392"/>
      <c r="F197" s="393"/>
      <c r="G197" s="391"/>
      <c r="H197" s="394"/>
      <c r="I197" s="395"/>
      <c r="J197" s="391"/>
      <c r="K197" s="394"/>
      <c r="L197" s="395"/>
      <c r="M197" s="405"/>
      <c r="N197" s="405"/>
      <c r="O197" s="405"/>
      <c r="P197" s="405"/>
      <c r="Q197" s="405"/>
      <c r="R197" s="26"/>
    </row>
    <row r="198" spans="1:18" ht="12.75">
      <c r="A198" s="11"/>
      <c r="B198" s="26"/>
      <c r="C198" s="532" t="s">
        <v>644</v>
      </c>
      <c r="D198" s="533"/>
      <c r="E198" s="529">
        <v>288313256</v>
      </c>
      <c r="F198" s="531"/>
      <c r="G198" s="529">
        <v>10241059.53</v>
      </c>
      <c r="H198" s="530"/>
      <c r="I198" s="531"/>
      <c r="J198" s="529" t="s">
        <v>645</v>
      </c>
      <c r="K198" s="530"/>
      <c r="L198" s="531"/>
      <c r="M198" s="550"/>
      <c r="N198" s="550"/>
      <c r="O198" s="550"/>
      <c r="P198" s="550"/>
      <c r="Q198" s="550"/>
      <c r="R198" s="26"/>
    </row>
    <row r="199" spans="1:18" ht="12.75">
      <c r="A199" s="11"/>
      <c r="B199" s="26"/>
      <c r="C199" s="396"/>
      <c r="D199" s="397"/>
      <c r="E199" s="398"/>
      <c r="F199" s="399"/>
      <c r="G199" s="400"/>
      <c r="H199" s="401"/>
      <c r="I199" s="402"/>
      <c r="J199" s="400"/>
      <c r="K199" s="401"/>
      <c r="L199" s="402"/>
      <c r="M199" s="405"/>
      <c r="N199" s="405"/>
      <c r="O199" s="405"/>
      <c r="P199" s="405"/>
      <c r="Q199" s="405"/>
      <c r="R199" s="26"/>
    </row>
    <row r="200" spans="1:18" ht="12.75">
      <c r="A200" s="11"/>
      <c r="B200" s="26"/>
      <c r="C200" s="403"/>
      <c r="D200" s="27"/>
      <c r="E200" s="404"/>
      <c r="F200" s="404"/>
      <c r="G200" s="405"/>
      <c r="H200" s="405"/>
      <c r="I200" s="405"/>
      <c r="J200" s="405"/>
      <c r="K200" s="405"/>
      <c r="L200" s="405"/>
      <c r="M200" s="405"/>
      <c r="N200" s="405"/>
      <c r="O200" s="405"/>
      <c r="P200" s="405"/>
      <c r="Q200" s="405"/>
      <c r="R200" s="26"/>
    </row>
    <row r="201" spans="1:18" ht="12.75">
      <c r="A201" s="11"/>
      <c r="B201" s="26"/>
      <c r="C201" s="537" t="s">
        <v>184</v>
      </c>
      <c r="D201" s="538"/>
      <c r="E201" s="538"/>
      <c r="F201" s="538"/>
      <c r="G201" s="538"/>
      <c r="H201" s="538"/>
      <c r="I201" s="538"/>
      <c r="J201" s="538"/>
      <c r="K201" s="538"/>
      <c r="L201" s="538"/>
      <c r="M201" s="538"/>
      <c r="N201" s="538"/>
      <c r="O201" s="538"/>
      <c r="P201" s="538"/>
      <c r="Q201" s="538"/>
      <c r="R201" s="538"/>
    </row>
    <row r="202" spans="1:18" ht="12.75">
      <c r="A202" s="11"/>
      <c r="B202" s="26"/>
      <c r="C202" s="538"/>
      <c r="D202" s="538"/>
      <c r="E202" s="538"/>
      <c r="F202" s="538"/>
      <c r="G202" s="538"/>
      <c r="H202" s="538"/>
      <c r="I202" s="538"/>
      <c r="J202" s="538"/>
      <c r="K202" s="538"/>
      <c r="L202" s="538"/>
      <c r="M202" s="538"/>
      <c r="N202" s="538"/>
      <c r="O202" s="538"/>
      <c r="P202" s="538"/>
      <c r="Q202" s="538"/>
      <c r="R202" s="538"/>
    </row>
    <row r="203" spans="1:18" ht="12.75">
      <c r="A203" s="11"/>
      <c r="B203" s="26"/>
      <c r="C203" s="538"/>
      <c r="D203" s="538"/>
      <c r="E203" s="538"/>
      <c r="F203" s="538"/>
      <c r="G203" s="538"/>
      <c r="H203" s="538"/>
      <c r="I203" s="538"/>
      <c r="J203" s="538"/>
      <c r="K203" s="538"/>
      <c r="L203" s="538"/>
      <c r="M203" s="538"/>
      <c r="N203" s="538"/>
      <c r="O203" s="538"/>
      <c r="P203" s="538"/>
      <c r="Q203" s="538"/>
      <c r="R203" s="538"/>
    </row>
    <row r="204" spans="1:18" ht="6" customHeight="1">
      <c r="A204" s="11"/>
      <c r="B204" s="1"/>
      <c r="C204" s="1"/>
      <c r="D204" s="1"/>
      <c r="E204" s="1"/>
      <c r="F204" s="1"/>
      <c r="G204" s="1"/>
      <c r="H204" s="1"/>
      <c r="I204" s="1"/>
      <c r="J204" s="1"/>
      <c r="K204" s="1"/>
      <c r="L204" s="1"/>
      <c r="M204" s="1"/>
      <c r="N204" s="1"/>
      <c r="O204" s="1"/>
      <c r="P204" s="1"/>
      <c r="Q204" s="1"/>
      <c r="R204" s="1"/>
    </row>
    <row r="205" spans="1:4" ht="12.75">
      <c r="A205" s="22" t="s">
        <v>142</v>
      </c>
      <c r="B205" s="411" t="s">
        <v>96</v>
      </c>
      <c r="C205" s="410"/>
      <c r="D205" s="410"/>
    </row>
    <row r="206" spans="1:18" ht="12.75">
      <c r="A206" s="11"/>
      <c r="B206" s="410" t="s">
        <v>97</v>
      </c>
      <c r="C206" s="410"/>
      <c r="D206" s="410"/>
      <c r="E206" s="410"/>
      <c r="F206" s="410"/>
      <c r="G206" s="410"/>
      <c r="H206" s="410"/>
      <c r="I206" s="410"/>
      <c r="J206" s="410"/>
      <c r="K206" s="410"/>
      <c r="L206" s="410"/>
      <c r="M206" s="410"/>
      <c r="N206" s="410"/>
      <c r="O206" s="410"/>
      <c r="P206" s="410"/>
      <c r="Q206" s="410"/>
      <c r="R206" s="410"/>
    </row>
    <row r="207" spans="1:18" ht="12.75">
      <c r="A207" s="23"/>
      <c r="B207" s="16"/>
      <c r="C207" s="16"/>
      <c r="D207" s="16"/>
      <c r="E207" s="16"/>
      <c r="F207" s="16"/>
      <c r="G207" s="16"/>
      <c r="H207" s="16"/>
      <c r="I207" s="16"/>
      <c r="J207" s="16"/>
      <c r="K207" s="16"/>
      <c r="L207" s="16"/>
      <c r="M207" s="16"/>
      <c r="N207" s="16"/>
      <c r="O207" s="16"/>
      <c r="P207" s="16"/>
      <c r="Q207" s="16"/>
      <c r="R207" s="43"/>
    </row>
    <row r="208" spans="1:5" ht="12.75">
      <c r="A208" s="22" t="s">
        <v>143</v>
      </c>
      <c r="B208" s="411" t="s">
        <v>98</v>
      </c>
      <c r="C208" s="410"/>
      <c r="D208" s="410"/>
      <c r="E208" s="410"/>
    </row>
    <row r="209" spans="1:17" ht="12.75">
      <c r="A209" s="11"/>
      <c r="G209" s="416" t="s">
        <v>3</v>
      </c>
      <c r="H209" s="416"/>
      <c r="I209" s="414" t="s">
        <v>100</v>
      </c>
      <c r="J209" s="414"/>
      <c r="K209" s="414" t="s">
        <v>118</v>
      </c>
      <c r="L209" s="414"/>
      <c r="M209" s="389"/>
      <c r="N209" s="389"/>
      <c r="O209" s="389"/>
      <c r="P209" s="389"/>
      <c r="Q209" s="389"/>
    </row>
    <row r="210" spans="1:17" ht="12.75">
      <c r="A210" s="11"/>
      <c r="G210" s="4"/>
      <c r="H210" s="4"/>
      <c r="I210" s="414"/>
      <c r="J210" s="414"/>
      <c r="K210" s="414"/>
      <c r="L210" s="414"/>
      <c r="M210" s="389"/>
      <c r="N210" s="389"/>
      <c r="O210" s="389"/>
      <c r="P210" s="389"/>
      <c r="Q210" s="389"/>
    </row>
    <row r="211" spans="1:17" ht="12.75">
      <c r="A211" s="11"/>
      <c r="G211" s="384" t="s">
        <v>93</v>
      </c>
      <c r="H211" s="384"/>
      <c r="I211" s="384" t="s">
        <v>93</v>
      </c>
      <c r="J211" s="384"/>
      <c r="K211" s="384" t="s">
        <v>93</v>
      </c>
      <c r="L211" s="384"/>
      <c r="M211" s="3"/>
      <c r="N211" s="3"/>
      <c r="O211" s="3"/>
      <c r="P211" s="3"/>
      <c r="Q211" s="3"/>
    </row>
    <row r="212" spans="1:17" ht="12.75">
      <c r="A212" s="11"/>
      <c r="C212" s="411" t="s">
        <v>99</v>
      </c>
      <c r="D212" s="410"/>
      <c r="E212" s="410"/>
      <c r="G212" s="3"/>
      <c r="H212" s="3"/>
      <c r="I212" s="3"/>
      <c r="J212" s="3"/>
      <c r="K212" s="3"/>
      <c r="L212" s="3"/>
      <c r="M212" s="3"/>
      <c r="N212" s="3"/>
      <c r="O212" s="3"/>
      <c r="P212" s="3"/>
      <c r="Q212" s="3"/>
    </row>
    <row r="213" spans="1:17" ht="12.75">
      <c r="A213" s="11"/>
      <c r="C213" s="410" t="s">
        <v>101</v>
      </c>
      <c r="D213" s="410"/>
      <c r="E213" s="410"/>
      <c r="G213" s="407">
        <v>0</v>
      </c>
      <c r="H213" s="407"/>
      <c r="I213" s="515">
        <f>+ROUND('CONS-P&amp;L,BS'!L161/1000,0)</f>
        <v>-592</v>
      </c>
      <c r="J213" s="515"/>
      <c r="K213" s="420">
        <f>+ROUND('CONS-P&amp;L,BS'!L147/1000,0)</f>
        <v>60842</v>
      </c>
      <c r="L213" s="409"/>
      <c r="M213" s="2"/>
      <c r="N213" s="2"/>
      <c r="O213" s="2"/>
      <c r="P213" s="2"/>
      <c r="Q213" s="2"/>
    </row>
    <row r="214" spans="1:17" ht="12.75">
      <c r="A214" s="11"/>
      <c r="C214" s="410" t="s">
        <v>102</v>
      </c>
      <c r="D214" s="410"/>
      <c r="E214" s="410"/>
      <c r="G214" s="420">
        <f>+ROUND('CONS-P&amp;L,BS'!J155/1000,0)</f>
        <v>116026</v>
      </c>
      <c r="H214" s="409"/>
      <c r="I214" s="515">
        <f>+ROUND('CONS-P&amp;L,BS'!L162/1000,0)</f>
        <v>8466</v>
      </c>
      <c r="J214" s="515"/>
      <c r="K214" s="420">
        <f>+ROUND('CONS-P&amp;L,BS'!L148/1000,0)-1</f>
        <v>278840</v>
      </c>
      <c r="L214" s="409"/>
      <c r="M214" s="2"/>
      <c r="N214" s="2"/>
      <c r="O214" s="2"/>
      <c r="P214" s="2"/>
      <c r="Q214" s="2"/>
    </row>
    <row r="215" spans="1:17" ht="12.75">
      <c r="A215" s="11"/>
      <c r="C215" s="410" t="s">
        <v>103</v>
      </c>
      <c r="D215" s="410"/>
      <c r="E215" s="410"/>
      <c r="G215" s="413" t="s">
        <v>105</v>
      </c>
      <c r="H215" s="413"/>
      <c r="I215" s="407">
        <v>0</v>
      </c>
      <c r="J215" s="407"/>
      <c r="K215" s="413" t="s">
        <v>105</v>
      </c>
      <c r="L215" s="413"/>
      <c r="M215" s="28"/>
      <c r="N215" s="28"/>
      <c r="O215" s="28"/>
      <c r="P215" s="28"/>
      <c r="Q215" s="28"/>
    </row>
    <row r="216" spans="1:17" ht="12.75">
      <c r="A216" s="11"/>
      <c r="G216" s="418">
        <f>SUM(G213:H215)</f>
        <v>116026</v>
      </c>
      <c r="H216" s="419"/>
      <c r="I216" s="418">
        <f>SUM(I213:J215)</f>
        <v>7874</v>
      </c>
      <c r="J216" s="419"/>
      <c r="K216" s="418">
        <f>SUM(K213:L215)</f>
        <v>339682</v>
      </c>
      <c r="L216" s="419"/>
      <c r="M216" s="21"/>
      <c r="N216" s="21"/>
      <c r="O216" s="21"/>
      <c r="P216" s="21"/>
      <c r="Q216" s="21"/>
    </row>
    <row r="217" ht="6" customHeight="1">
      <c r="A217" s="11"/>
    </row>
    <row r="218" spans="1:5" ht="12.75">
      <c r="A218" s="11"/>
      <c r="C218" s="411" t="s">
        <v>106</v>
      </c>
      <c r="D218" s="411"/>
      <c r="E218" s="411"/>
    </row>
    <row r="219" spans="1:17" ht="12.75">
      <c r="A219" s="11"/>
      <c r="C219" s="410" t="s">
        <v>107</v>
      </c>
      <c r="D219" s="410"/>
      <c r="G219" s="420">
        <f>+ROUND('CONS-P&amp;L,BS'!J151/1000,0)</f>
        <v>116026</v>
      </c>
      <c r="H219" s="409"/>
      <c r="I219" s="515">
        <f>+ROUND('CONS-P&amp;L,BS'!L158/1000,0)</f>
        <v>8182</v>
      </c>
      <c r="J219" s="515"/>
      <c r="K219" s="420">
        <f>+ROUND('CONS-P&amp;L,BS'!L143/1000,0)</f>
        <v>297372</v>
      </c>
      <c r="L219" s="409"/>
      <c r="M219" s="2"/>
      <c r="N219" s="2"/>
      <c r="O219" s="2"/>
      <c r="P219" s="2"/>
      <c r="Q219" s="2"/>
    </row>
    <row r="220" spans="1:17" ht="12.75">
      <c r="A220" s="11"/>
      <c r="C220" s="410" t="s">
        <v>108</v>
      </c>
      <c r="D220" s="410"/>
      <c r="G220" s="407">
        <v>0</v>
      </c>
      <c r="H220" s="407"/>
      <c r="I220" s="515">
        <f>+ROUND('CONS-P&amp;L,BS'!L159/1000,0)</f>
        <v>-308</v>
      </c>
      <c r="J220" s="515"/>
      <c r="K220" s="420">
        <f>+ROUND('CONS-P&amp;L,BS'!L144/1000,0)</f>
        <v>42310</v>
      </c>
      <c r="L220" s="409"/>
      <c r="M220" s="2"/>
      <c r="N220" s="2"/>
      <c r="O220" s="2"/>
      <c r="P220" s="2"/>
      <c r="Q220" s="2"/>
    </row>
    <row r="221" spans="1:17" ht="12.75" customHeight="1">
      <c r="A221" s="11"/>
      <c r="G221" s="418">
        <f>SUM(G219:H220)</f>
        <v>116026</v>
      </c>
      <c r="H221" s="419"/>
      <c r="I221" s="418">
        <f>SUM(I219:J220)</f>
        <v>7874</v>
      </c>
      <c r="J221" s="419"/>
      <c r="K221" s="418">
        <f>SUM(K219:L220)</f>
        <v>339682</v>
      </c>
      <c r="L221" s="419"/>
      <c r="M221" s="21"/>
      <c r="N221" s="21"/>
      <c r="O221" s="21"/>
      <c r="P221" s="21"/>
      <c r="Q221" s="21"/>
    </row>
    <row r="222" spans="1:17" ht="12.75" customHeight="1">
      <c r="A222" s="11"/>
      <c r="G222" s="20"/>
      <c r="H222" s="21"/>
      <c r="I222" s="20"/>
      <c r="J222" s="21"/>
      <c r="K222" s="20"/>
      <c r="L222" s="21"/>
      <c r="M222" s="21"/>
      <c r="N222" s="21"/>
      <c r="O222" s="21"/>
      <c r="P222" s="21"/>
      <c r="Q222" s="21"/>
    </row>
    <row r="223" spans="1:17" ht="12.75" customHeight="1">
      <c r="A223" s="11"/>
      <c r="G223" s="20"/>
      <c r="H223" s="21"/>
      <c r="I223" s="20"/>
      <c r="J223" s="21"/>
      <c r="K223" s="20"/>
      <c r="L223" s="21"/>
      <c r="M223" s="21"/>
      <c r="N223" s="21"/>
      <c r="O223" s="21"/>
      <c r="P223" s="21"/>
      <c r="Q223" s="21"/>
    </row>
    <row r="224" spans="1:18" ht="6" customHeight="1">
      <c r="A224" s="16"/>
      <c r="B224" s="16"/>
      <c r="C224" s="16"/>
      <c r="D224" s="16"/>
      <c r="E224" s="16"/>
      <c r="F224" s="16"/>
      <c r="G224" s="19"/>
      <c r="H224" s="19"/>
      <c r="I224" s="19"/>
      <c r="J224" s="19"/>
      <c r="K224" s="19"/>
      <c r="L224" s="19"/>
      <c r="M224" s="19"/>
      <c r="N224" s="19"/>
      <c r="O224" s="19"/>
      <c r="P224" s="19"/>
      <c r="Q224" s="19"/>
      <c r="R224" s="2"/>
    </row>
    <row r="225" spans="1:18" ht="12.75" customHeight="1">
      <c r="A225" s="16"/>
      <c r="B225" s="16"/>
      <c r="C225" s="16"/>
      <c r="D225" s="16"/>
      <c r="E225" s="16"/>
      <c r="F225" s="16"/>
      <c r="G225" s="19"/>
      <c r="H225" s="19"/>
      <c r="I225" s="19"/>
      <c r="J225" s="19"/>
      <c r="K225" s="19"/>
      <c r="L225" s="19"/>
      <c r="M225" s="19"/>
      <c r="N225" s="19"/>
      <c r="O225" s="19"/>
      <c r="P225" s="19"/>
      <c r="Q225" s="19"/>
      <c r="R225" s="2"/>
    </row>
    <row r="226" spans="1:10" ht="12.75" customHeight="1">
      <c r="A226" s="22" t="s">
        <v>144</v>
      </c>
      <c r="B226" s="411" t="s">
        <v>109</v>
      </c>
      <c r="C226" s="410"/>
      <c r="D226" s="410"/>
      <c r="E226" s="410"/>
      <c r="F226" s="410"/>
      <c r="G226" s="410"/>
      <c r="H226" s="410"/>
      <c r="I226" s="410"/>
      <c r="J226" s="410"/>
    </row>
    <row r="227" spans="1:18" ht="12.75">
      <c r="A227" s="11"/>
      <c r="B227" s="408" t="s">
        <v>612</v>
      </c>
      <c r="C227" s="408"/>
      <c r="D227" s="408"/>
      <c r="E227" s="408"/>
      <c r="F227" s="408"/>
      <c r="G227" s="408"/>
      <c r="H227" s="408"/>
      <c r="I227" s="408"/>
      <c r="J227" s="408"/>
      <c r="K227" s="408"/>
      <c r="L227" s="408"/>
      <c r="M227" s="408"/>
      <c r="N227" s="408"/>
      <c r="O227" s="408"/>
      <c r="P227" s="408"/>
      <c r="Q227" s="408"/>
      <c r="R227" s="408"/>
    </row>
    <row r="228" spans="1:18" ht="12.75">
      <c r="A228" s="11"/>
      <c r="B228" s="408"/>
      <c r="C228" s="408"/>
      <c r="D228" s="408"/>
      <c r="E228" s="408"/>
      <c r="F228" s="408"/>
      <c r="G228" s="408"/>
      <c r="H228" s="408"/>
      <c r="I228" s="408"/>
      <c r="J228" s="408"/>
      <c r="K228" s="408"/>
      <c r="L228" s="408"/>
      <c r="M228" s="408"/>
      <c r="N228" s="408"/>
      <c r="O228" s="408"/>
      <c r="P228" s="408"/>
      <c r="Q228" s="408"/>
      <c r="R228" s="408"/>
    </row>
    <row r="229" spans="1:18" ht="12.75">
      <c r="A229" s="11"/>
      <c r="B229" s="386"/>
      <c r="C229" s="386"/>
      <c r="D229" s="386"/>
      <c r="E229" s="386"/>
      <c r="F229" s="386"/>
      <c r="G229" s="386"/>
      <c r="H229" s="386"/>
      <c r="I229" s="386"/>
      <c r="J229" s="386"/>
      <c r="K229" s="386"/>
      <c r="L229" s="386"/>
      <c r="M229" s="386"/>
      <c r="N229" s="386"/>
      <c r="O229" s="386"/>
      <c r="P229" s="386"/>
      <c r="Q229" s="386"/>
      <c r="R229" s="386"/>
    </row>
    <row r="230" spans="1:18" ht="12.75">
      <c r="A230" s="11"/>
      <c r="B230" s="14"/>
      <c r="C230" s="14"/>
      <c r="D230" s="14"/>
      <c r="E230" s="14"/>
      <c r="F230" s="14"/>
      <c r="G230" s="14"/>
      <c r="H230" s="14"/>
      <c r="I230" s="14"/>
      <c r="J230" s="14"/>
      <c r="K230" s="14"/>
      <c r="L230" s="14"/>
      <c r="M230" s="14"/>
      <c r="N230" s="14"/>
      <c r="O230" s="14"/>
      <c r="P230" s="14"/>
      <c r="Q230" s="14"/>
      <c r="R230" s="14"/>
    </row>
    <row r="232" spans="1:6" ht="12.75" customHeight="1">
      <c r="A232" s="22" t="s">
        <v>145</v>
      </c>
      <c r="B232" s="411" t="s">
        <v>110</v>
      </c>
      <c r="C232" s="410"/>
      <c r="D232" s="410"/>
      <c r="E232" s="410"/>
      <c r="F232" s="410"/>
    </row>
    <row r="233" spans="1:18" ht="12.75">
      <c r="A233" s="11"/>
      <c r="B233" s="410" t="s">
        <v>613</v>
      </c>
      <c r="C233" s="410"/>
      <c r="D233" s="410"/>
      <c r="E233" s="410"/>
      <c r="F233" s="410"/>
      <c r="G233" s="410"/>
      <c r="H233" s="410"/>
      <c r="I233" s="410"/>
      <c r="J233" s="410"/>
      <c r="K233" s="410"/>
      <c r="L233" s="410"/>
      <c r="M233" s="410"/>
      <c r="N233" s="410"/>
      <c r="O233" s="410"/>
      <c r="P233" s="410"/>
      <c r="Q233" s="410"/>
      <c r="R233" s="410"/>
    </row>
    <row r="234" spans="1:18" ht="12.75">
      <c r="A234" s="11"/>
      <c r="B234" s="410"/>
      <c r="C234" s="410"/>
      <c r="D234" s="410"/>
      <c r="E234" s="410"/>
      <c r="F234" s="410"/>
      <c r="G234" s="410"/>
      <c r="H234" s="410"/>
      <c r="I234" s="410"/>
      <c r="J234" s="410"/>
      <c r="K234" s="410"/>
      <c r="L234" s="410"/>
      <c r="M234" s="410"/>
      <c r="N234" s="410"/>
      <c r="O234" s="410"/>
      <c r="P234" s="410"/>
      <c r="Q234" s="410"/>
      <c r="R234" s="410"/>
    </row>
    <row r="235" spans="1:18" ht="12.75">
      <c r="A235" s="11"/>
      <c r="B235" s="410"/>
      <c r="C235" s="410"/>
      <c r="D235" s="410"/>
      <c r="E235" s="410"/>
      <c r="F235" s="410"/>
      <c r="G235" s="410"/>
      <c r="H235" s="410"/>
      <c r="I235" s="410"/>
      <c r="J235" s="410"/>
      <c r="K235" s="410"/>
      <c r="L235" s="410"/>
      <c r="M235" s="410"/>
      <c r="N235" s="410"/>
      <c r="O235" s="410"/>
      <c r="P235" s="410"/>
      <c r="Q235" s="410"/>
      <c r="R235" s="410"/>
    </row>
    <row r="236" spans="1:18" ht="12.75">
      <c r="A236" s="11"/>
      <c r="B236" s="1"/>
      <c r="C236" s="1"/>
      <c r="D236" s="1"/>
      <c r="E236" s="1"/>
      <c r="F236" s="1"/>
      <c r="G236" s="1"/>
      <c r="H236" s="1"/>
      <c r="I236" s="1"/>
      <c r="J236" s="1"/>
      <c r="K236" s="1"/>
      <c r="L236" s="1"/>
      <c r="M236" s="1"/>
      <c r="N236" s="1"/>
      <c r="O236" s="1"/>
      <c r="P236" s="1"/>
      <c r="Q236" s="1"/>
      <c r="R236" s="1"/>
    </row>
    <row r="237" spans="1:18" ht="12.75">
      <c r="A237" s="11"/>
      <c r="C237" s="1"/>
      <c r="D237" s="1"/>
      <c r="E237" s="1"/>
      <c r="F237" s="1"/>
      <c r="G237" s="1"/>
      <c r="H237" s="1"/>
      <c r="I237" s="1"/>
      <c r="J237" s="1"/>
      <c r="K237" s="1"/>
      <c r="L237" s="1"/>
      <c r="M237" s="1"/>
      <c r="N237" s="1"/>
      <c r="O237" s="1"/>
      <c r="P237" s="1"/>
      <c r="Q237" s="1"/>
      <c r="R237" s="1"/>
    </row>
    <row r="238" spans="1:6" ht="12.75">
      <c r="A238" s="22" t="s">
        <v>146</v>
      </c>
      <c r="B238" s="411" t="s">
        <v>111</v>
      </c>
      <c r="C238" s="410"/>
      <c r="D238" s="410"/>
      <c r="E238" s="410"/>
      <c r="F238" s="410"/>
    </row>
    <row r="239" spans="1:18" ht="12.75" customHeight="1">
      <c r="A239" s="11"/>
      <c r="B239" s="408" t="s">
        <v>653</v>
      </c>
      <c r="C239" s="408"/>
      <c r="D239" s="408"/>
      <c r="E239" s="408"/>
      <c r="F239" s="408"/>
      <c r="G239" s="408"/>
      <c r="H239" s="408"/>
      <c r="I239" s="408"/>
      <c r="J239" s="408"/>
      <c r="K239" s="408"/>
      <c r="L239" s="408"/>
      <c r="M239" s="408"/>
      <c r="N239" s="408"/>
      <c r="O239" s="408"/>
      <c r="P239" s="408"/>
      <c r="Q239" s="408"/>
      <c r="R239" s="408"/>
    </row>
    <row r="240" spans="1:18" ht="12.75">
      <c r="A240" s="11"/>
      <c r="B240" s="408"/>
      <c r="C240" s="408"/>
      <c r="D240" s="408"/>
      <c r="E240" s="408"/>
      <c r="F240" s="408"/>
      <c r="G240" s="408"/>
      <c r="H240" s="408"/>
      <c r="I240" s="408"/>
      <c r="J240" s="408"/>
      <c r="K240" s="408"/>
      <c r="L240" s="408"/>
      <c r="M240" s="408"/>
      <c r="N240" s="408"/>
      <c r="O240" s="408"/>
      <c r="P240" s="408"/>
      <c r="Q240" s="408"/>
      <c r="R240" s="408"/>
    </row>
    <row r="241" spans="1:18" ht="6" customHeight="1">
      <c r="A241" s="11"/>
      <c r="B241" s="408"/>
      <c r="C241" s="408"/>
      <c r="D241" s="408"/>
      <c r="E241" s="408"/>
      <c r="F241" s="408"/>
      <c r="G241" s="408"/>
      <c r="H241" s="408"/>
      <c r="I241" s="408"/>
      <c r="J241" s="408"/>
      <c r="K241" s="408"/>
      <c r="L241" s="408"/>
      <c r="M241" s="408"/>
      <c r="N241" s="408"/>
      <c r="O241" s="408"/>
      <c r="P241" s="408"/>
      <c r="Q241" s="408"/>
      <c r="R241" s="408"/>
    </row>
    <row r="242" spans="1:18" ht="12.75">
      <c r="A242" s="11"/>
      <c r="B242" s="385"/>
      <c r="C242" s="385"/>
      <c r="D242" s="385"/>
      <c r="E242" s="385"/>
      <c r="F242" s="385"/>
      <c r="G242" s="385"/>
      <c r="H242" s="385"/>
      <c r="I242" s="385"/>
      <c r="J242" s="385"/>
      <c r="K242" s="385"/>
      <c r="L242" s="385"/>
      <c r="M242" s="385"/>
      <c r="N242" s="385"/>
      <c r="O242" s="385"/>
      <c r="P242" s="385"/>
      <c r="Q242" s="385"/>
      <c r="R242" s="385"/>
    </row>
    <row r="243" spans="1:18" ht="12.75">
      <c r="A243" s="11"/>
      <c r="B243" s="385"/>
      <c r="C243" s="385"/>
      <c r="D243" s="385"/>
      <c r="E243" s="385"/>
      <c r="F243" s="385"/>
      <c r="G243" s="385"/>
      <c r="H243" s="385"/>
      <c r="I243" s="385"/>
      <c r="J243" s="385"/>
      <c r="K243" s="385"/>
      <c r="L243" s="385"/>
      <c r="M243" s="385"/>
      <c r="N243" s="385"/>
      <c r="O243" s="385"/>
      <c r="P243" s="385"/>
      <c r="Q243" s="385"/>
      <c r="R243" s="385"/>
    </row>
    <row r="244" spans="1:5" ht="12.75">
      <c r="A244" s="22" t="s">
        <v>147</v>
      </c>
      <c r="B244" s="411" t="s">
        <v>112</v>
      </c>
      <c r="C244" s="410"/>
      <c r="D244" s="410"/>
      <c r="E244" s="410"/>
    </row>
    <row r="245" spans="1:18" ht="12.75">
      <c r="A245" s="11"/>
      <c r="B245" s="408" t="s">
        <v>651</v>
      </c>
      <c r="C245" s="408"/>
      <c r="D245" s="408"/>
      <c r="E245" s="408"/>
      <c r="F245" s="408"/>
      <c r="G245" s="408"/>
      <c r="H245" s="408"/>
      <c r="I245" s="408"/>
      <c r="J245" s="408"/>
      <c r="K245" s="408"/>
      <c r="L245" s="408"/>
      <c r="M245" s="408"/>
      <c r="N245" s="408"/>
      <c r="O245" s="408"/>
      <c r="P245" s="408"/>
      <c r="Q245" s="408"/>
      <c r="R245" s="408"/>
    </row>
    <row r="246" spans="1:18" ht="12.75">
      <c r="A246" s="11"/>
      <c r="B246" s="408"/>
      <c r="C246" s="408"/>
      <c r="D246" s="408"/>
      <c r="E246" s="408"/>
      <c r="F246" s="408"/>
      <c r="G246" s="408"/>
      <c r="H246" s="408"/>
      <c r="I246" s="408"/>
      <c r="J246" s="408"/>
      <c r="K246" s="408"/>
      <c r="L246" s="408"/>
      <c r="M246" s="408"/>
      <c r="N246" s="408"/>
      <c r="O246" s="408"/>
      <c r="P246" s="408"/>
      <c r="Q246" s="408"/>
      <c r="R246" s="408"/>
    </row>
    <row r="247" spans="1:18" ht="12.75">
      <c r="A247" s="11"/>
      <c r="B247" s="408"/>
      <c r="C247" s="408"/>
      <c r="D247" s="408"/>
      <c r="E247" s="408"/>
      <c r="F247" s="408"/>
      <c r="G247" s="408"/>
      <c r="H247" s="408"/>
      <c r="I247" s="408"/>
      <c r="J247" s="408"/>
      <c r="K247" s="408"/>
      <c r="L247" s="408"/>
      <c r="M247" s="408"/>
      <c r="N247" s="408"/>
      <c r="O247" s="408"/>
      <c r="P247" s="408"/>
      <c r="Q247" s="408"/>
      <c r="R247" s="408"/>
    </row>
    <row r="248" ht="12.75">
      <c r="A248" s="11"/>
    </row>
    <row r="249" spans="1:4" ht="12.75">
      <c r="A249" s="22" t="s">
        <v>178</v>
      </c>
      <c r="B249" s="411" t="s">
        <v>113</v>
      </c>
      <c r="C249" s="410"/>
      <c r="D249" s="410"/>
    </row>
    <row r="250" spans="1:18" ht="12.75">
      <c r="A250" s="11"/>
      <c r="B250" s="406" t="s">
        <v>604</v>
      </c>
      <c r="C250" s="406"/>
      <c r="D250" s="406"/>
      <c r="E250" s="406"/>
      <c r="F250" s="406"/>
      <c r="G250" s="406"/>
      <c r="H250" s="406"/>
      <c r="I250" s="406"/>
      <c r="J250" s="406"/>
      <c r="K250" s="406"/>
      <c r="L250" s="406"/>
      <c r="M250" s="406"/>
      <c r="N250" s="406"/>
      <c r="O250" s="406"/>
      <c r="P250" s="406"/>
      <c r="Q250" s="406"/>
      <c r="R250" s="406"/>
    </row>
    <row r="251" spans="1:18" ht="12.75">
      <c r="A251" s="11"/>
      <c r="B251" s="406"/>
      <c r="C251" s="406"/>
      <c r="D251" s="406"/>
      <c r="E251" s="406"/>
      <c r="F251" s="406"/>
      <c r="G251" s="406"/>
      <c r="H251" s="406"/>
      <c r="I251" s="406"/>
      <c r="J251" s="406"/>
      <c r="K251" s="406"/>
      <c r="L251" s="406"/>
      <c r="M251" s="406"/>
      <c r="N251" s="406"/>
      <c r="O251" s="406"/>
      <c r="P251" s="406"/>
      <c r="Q251" s="406"/>
      <c r="R251" s="406"/>
    </row>
    <row r="252" spans="1:18" ht="12.75">
      <c r="A252" s="11"/>
      <c r="B252" s="406"/>
      <c r="C252" s="406"/>
      <c r="D252" s="406"/>
      <c r="E252" s="406"/>
      <c r="F252" s="406"/>
      <c r="G252" s="406"/>
      <c r="H252" s="406"/>
      <c r="I252" s="406"/>
      <c r="J252" s="406"/>
      <c r="K252" s="406"/>
      <c r="L252" s="406"/>
      <c r="M252" s="406"/>
      <c r="N252" s="406"/>
      <c r="O252" s="406"/>
      <c r="P252" s="406"/>
      <c r="Q252" s="406"/>
      <c r="R252" s="406"/>
    </row>
    <row r="253" spans="1:18" ht="12.75">
      <c r="A253" s="11"/>
      <c r="B253" s="45"/>
      <c r="C253" s="45"/>
      <c r="D253" s="45"/>
      <c r="E253" s="45"/>
      <c r="F253" s="45"/>
      <c r="G253" s="45"/>
      <c r="H253" s="45"/>
      <c r="I253" s="45"/>
      <c r="J253" s="45"/>
      <c r="K253" s="45"/>
      <c r="L253" s="45"/>
      <c r="M253" s="45"/>
      <c r="N253" s="45"/>
      <c r="O253" s="45"/>
      <c r="P253" s="45"/>
      <c r="Q253" s="45"/>
      <c r="R253" s="45"/>
    </row>
    <row r="254" spans="1:18" ht="12.75">
      <c r="A254" s="11"/>
      <c r="B254" s="45"/>
      <c r="C254" s="45"/>
      <c r="D254" s="45"/>
      <c r="E254" s="45"/>
      <c r="F254" s="45"/>
      <c r="G254" s="45"/>
      <c r="H254" s="45"/>
      <c r="I254" s="45"/>
      <c r="J254" s="45"/>
      <c r="K254" s="45"/>
      <c r="L254" s="45"/>
      <c r="M254" s="45"/>
      <c r="N254" s="45"/>
      <c r="O254" s="45"/>
      <c r="P254" s="45"/>
      <c r="Q254" s="45"/>
      <c r="R254" s="45"/>
    </row>
    <row r="255" spans="1:18" ht="12.75">
      <c r="A255" s="11"/>
      <c r="B255" s="45"/>
      <c r="C255" s="45"/>
      <c r="D255" s="45"/>
      <c r="E255" s="45"/>
      <c r="F255" s="45"/>
      <c r="G255" s="45"/>
      <c r="H255" s="45"/>
      <c r="I255" s="45"/>
      <c r="J255" s="45"/>
      <c r="K255" s="45"/>
      <c r="L255" s="45"/>
      <c r="M255" s="45"/>
      <c r="N255" s="45"/>
      <c r="O255" s="45"/>
      <c r="P255" s="45"/>
      <c r="Q255" s="45"/>
      <c r="R255" s="45"/>
    </row>
    <row r="256" ht="12.75">
      <c r="A256" s="11"/>
    </row>
    <row r="257" spans="1:6" ht="12.75" customHeight="1">
      <c r="A257" s="411" t="s">
        <v>114</v>
      </c>
      <c r="B257" s="410"/>
      <c r="C257" s="410"/>
      <c r="D257" s="410"/>
      <c r="E257" s="410"/>
      <c r="F257" s="410"/>
    </row>
    <row r="258" spans="1:6" ht="12.75" customHeight="1">
      <c r="A258" s="411" t="s">
        <v>115</v>
      </c>
      <c r="B258" s="410"/>
      <c r="C258" s="410"/>
      <c r="D258" s="410"/>
      <c r="E258" s="410"/>
      <c r="F258" s="410"/>
    </row>
    <row r="260" ht="12.75">
      <c r="A260" t="s">
        <v>654</v>
      </c>
    </row>
    <row r="261" ht="12.75">
      <c r="A261" t="s">
        <v>116</v>
      </c>
    </row>
    <row r="263" ht="12.75">
      <c r="A263" t="s">
        <v>117</v>
      </c>
    </row>
    <row r="264" ht="12.75">
      <c r="A264" t="s">
        <v>580</v>
      </c>
    </row>
    <row r="287" spans="1:18" ht="7.5" customHeight="1">
      <c r="A287" s="6"/>
      <c r="B287" s="6"/>
      <c r="C287" s="6"/>
      <c r="D287" s="6"/>
      <c r="E287" s="6"/>
      <c r="F287" s="6"/>
      <c r="G287" s="17"/>
      <c r="H287" s="17"/>
      <c r="I287" s="17"/>
      <c r="J287" s="17"/>
      <c r="K287" s="17"/>
      <c r="L287" s="17"/>
      <c r="M287" s="19"/>
      <c r="N287" s="19"/>
      <c r="O287" s="19"/>
      <c r="P287" s="19"/>
      <c r="Q287" s="19"/>
      <c r="R287" s="450"/>
    </row>
    <row r="288" spans="1:18" ht="6" customHeight="1">
      <c r="A288" s="16"/>
      <c r="B288" s="16"/>
      <c r="C288" s="16"/>
      <c r="D288" s="16"/>
      <c r="E288" s="16"/>
      <c r="F288" s="16"/>
      <c r="G288" s="19"/>
      <c r="H288" s="19"/>
      <c r="I288" s="19"/>
      <c r="J288" s="19"/>
      <c r="K288" s="19"/>
      <c r="L288" s="19"/>
      <c r="M288" s="19"/>
      <c r="N288" s="19"/>
      <c r="O288" s="19"/>
      <c r="P288" s="19"/>
      <c r="Q288" s="19"/>
      <c r="R288" s="409"/>
    </row>
    <row r="302" spans="1:18" ht="12.75">
      <c r="A302" s="16"/>
      <c r="B302" s="16"/>
      <c r="C302" s="16"/>
      <c r="D302" s="16"/>
      <c r="E302" s="16"/>
      <c r="F302" s="16"/>
      <c r="G302" s="16"/>
      <c r="H302" s="16"/>
      <c r="I302" s="16"/>
      <c r="J302" s="16"/>
      <c r="K302" s="16"/>
      <c r="L302" s="16"/>
      <c r="M302" s="16"/>
      <c r="N302" s="16"/>
      <c r="O302" s="16"/>
      <c r="P302" s="16"/>
      <c r="Q302" s="16"/>
      <c r="R302" s="450"/>
    </row>
    <row r="303" spans="1:18" ht="7.5" customHeight="1">
      <c r="A303" s="16"/>
      <c r="B303" s="16"/>
      <c r="C303" s="16"/>
      <c r="D303" s="16"/>
      <c r="E303" s="16"/>
      <c r="F303" s="16"/>
      <c r="G303" s="16"/>
      <c r="H303" s="16"/>
      <c r="I303" s="16"/>
      <c r="J303" s="16"/>
      <c r="K303" s="16"/>
      <c r="L303" s="16"/>
      <c r="M303" s="16"/>
      <c r="N303" s="16"/>
      <c r="O303" s="16"/>
      <c r="P303" s="16"/>
      <c r="Q303" s="16"/>
      <c r="R303" s="451"/>
    </row>
  </sheetData>
  <mergeCells count="291">
    <mergeCell ref="T54:U55"/>
    <mergeCell ref="H135:I135"/>
    <mergeCell ref="J135:K135"/>
    <mergeCell ref="G89:I89"/>
    <mergeCell ref="J101:L101"/>
    <mergeCell ref="G101:I101"/>
    <mergeCell ref="G103:I103"/>
    <mergeCell ref="J103:L103"/>
    <mergeCell ref="J108:L108"/>
    <mergeCell ref="G108:I108"/>
    <mergeCell ref="B140:R141"/>
    <mergeCell ref="E196:F196"/>
    <mergeCell ref="C212:E212"/>
    <mergeCell ref="G214:H214"/>
    <mergeCell ref="C201:R203"/>
    <mergeCell ref="J180:K180"/>
    <mergeCell ref="J181:K181"/>
    <mergeCell ref="C196:D196"/>
    <mergeCell ref="G185:H185"/>
    <mergeCell ref="J185:K185"/>
    <mergeCell ref="H16:I17"/>
    <mergeCell ref="H27:I32"/>
    <mergeCell ref="J198:L198"/>
    <mergeCell ref="C16:E17"/>
    <mergeCell ref="C198:D198"/>
    <mergeCell ref="E198:F198"/>
    <mergeCell ref="G198:I198"/>
    <mergeCell ref="C194:R194"/>
    <mergeCell ref="G196:I196"/>
    <mergeCell ref="J196:L196"/>
    <mergeCell ref="B114:F114"/>
    <mergeCell ref="T35:U37"/>
    <mergeCell ref="T38:U38"/>
    <mergeCell ref="T39:U40"/>
    <mergeCell ref="J64:L64"/>
    <mergeCell ref="T41:U41"/>
    <mergeCell ref="T42:U44"/>
    <mergeCell ref="T45:U45"/>
    <mergeCell ref="T46:U46"/>
    <mergeCell ref="T47:U47"/>
    <mergeCell ref="T18:U23"/>
    <mergeCell ref="T24:U24"/>
    <mergeCell ref="T48:U50"/>
    <mergeCell ref="T25:U25"/>
    <mergeCell ref="T26:U26"/>
    <mergeCell ref="T27:U32"/>
    <mergeCell ref="T33:U34"/>
    <mergeCell ref="G104:I104"/>
    <mergeCell ref="J104:L104"/>
    <mergeCell ref="G105:I105"/>
    <mergeCell ref="J105:L105"/>
    <mergeCell ref="G97:I97"/>
    <mergeCell ref="G99:I99"/>
    <mergeCell ref="G100:I100"/>
    <mergeCell ref="J100:L100"/>
    <mergeCell ref="J99:L99"/>
    <mergeCell ref="G98:I98"/>
    <mergeCell ref="J98:L98"/>
    <mergeCell ref="G92:I92"/>
    <mergeCell ref="J92:L92"/>
    <mergeCell ref="J94:L94"/>
    <mergeCell ref="G94:I94"/>
    <mergeCell ref="G96:I96"/>
    <mergeCell ref="J96:L96"/>
    <mergeCell ref="J97:L97"/>
    <mergeCell ref="G85:I85"/>
    <mergeCell ref="G86:I86"/>
    <mergeCell ref="J86:L86"/>
    <mergeCell ref="G88:I88"/>
    <mergeCell ref="J88:L88"/>
    <mergeCell ref="J85:L85"/>
    <mergeCell ref="J89:L89"/>
    <mergeCell ref="G83:I83"/>
    <mergeCell ref="J83:L83"/>
    <mergeCell ref="G84:I84"/>
    <mergeCell ref="J84:L84"/>
    <mergeCell ref="G77:I77"/>
    <mergeCell ref="J79:L79"/>
    <mergeCell ref="G79:I79"/>
    <mergeCell ref="G75:I75"/>
    <mergeCell ref="J75:L75"/>
    <mergeCell ref="J76:L76"/>
    <mergeCell ref="G76:I76"/>
    <mergeCell ref="J77:L77"/>
    <mergeCell ref="G69:I69"/>
    <mergeCell ref="J70:L70"/>
    <mergeCell ref="G70:I70"/>
    <mergeCell ref="J74:L74"/>
    <mergeCell ref="G74:I74"/>
    <mergeCell ref="J69:L69"/>
    <mergeCell ref="G68:I68"/>
    <mergeCell ref="J67:L67"/>
    <mergeCell ref="J68:L68"/>
    <mergeCell ref="G65:I65"/>
    <mergeCell ref="G66:I66"/>
    <mergeCell ref="J65:L65"/>
    <mergeCell ref="J66:L66"/>
    <mergeCell ref="J62:L63"/>
    <mergeCell ref="G62:I63"/>
    <mergeCell ref="T56:U57"/>
    <mergeCell ref="G67:I67"/>
    <mergeCell ref="C52:E53"/>
    <mergeCell ref="C54:E55"/>
    <mergeCell ref="H54:I55"/>
    <mergeCell ref="G64:I64"/>
    <mergeCell ref="C56:E57"/>
    <mergeCell ref="H56:I57"/>
    <mergeCell ref="H46:I46"/>
    <mergeCell ref="C48:E50"/>
    <mergeCell ref="H48:I50"/>
    <mergeCell ref="C45:E45"/>
    <mergeCell ref="C46:E46"/>
    <mergeCell ref="C47:E47"/>
    <mergeCell ref="H45:I45"/>
    <mergeCell ref="H47:I47"/>
    <mergeCell ref="C41:E41"/>
    <mergeCell ref="H41:I41"/>
    <mergeCell ref="C42:E44"/>
    <mergeCell ref="H42:I44"/>
    <mergeCell ref="C38:E38"/>
    <mergeCell ref="H38:I38"/>
    <mergeCell ref="C39:E40"/>
    <mergeCell ref="H39:I40"/>
    <mergeCell ref="C35:E37"/>
    <mergeCell ref="H35:I37"/>
    <mergeCell ref="C33:E34"/>
    <mergeCell ref="H33:I34"/>
    <mergeCell ref="C25:E25"/>
    <mergeCell ref="C26:E26"/>
    <mergeCell ref="C27:E32"/>
    <mergeCell ref="H25:I25"/>
    <mergeCell ref="C24:E24"/>
    <mergeCell ref="H24:I24"/>
    <mergeCell ref="C18:E23"/>
    <mergeCell ref="H18:I23"/>
    <mergeCell ref="C15:E15"/>
    <mergeCell ref="H15:I15"/>
    <mergeCell ref="A6:I6"/>
    <mergeCell ref="T9:U9"/>
    <mergeCell ref="T15:U15"/>
    <mergeCell ref="H8:I8"/>
    <mergeCell ref="K8:L8"/>
    <mergeCell ref="A4:R4"/>
    <mergeCell ref="C14:E14"/>
    <mergeCell ref="H14:I14"/>
    <mergeCell ref="H26:I26"/>
    <mergeCell ref="H9:I9"/>
    <mergeCell ref="T14:U14"/>
    <mergeCell ref="T12:U12"/>
    <mergeCell ref="T11:U11"/>
    <mergeCell ref="H12:I12"/>
    <mergeCell ref="T10:U10"/>
    <mergeCell ref="H10:I10"/>
    <mergeCell ref="H11:I11"/>
    <mergeCell ref="T16:U17"/>
    <mergeCell ref="G184:H184"/>
    <mergeCell ref="J184:K184"/>
    <mergeCell ref="G180:H180"/>
    <mergeCell ref="G181:H181"/>
    <mergeCell ref="B172:R172"/>
    <mergeCell ref="B168:R169"/>
    <mergeCell ref="J179:K179"/>
    <mergeCell ref="G179:H179"/>
    <mergeCell ref="G176:H176"/>
    <mergeCell ref="J176:K176"/>
    <mergeCell ref="G174:H175"/>
    <mergeCell ref="J174:K175"/>
    <mergeCell ref="B163:H163"/>
    <mergeCell ref="C130:D130"/>
    <mergeCell ref="B167:G167"/>
    <mergeCell ref="B136:F136"/>
    <mergeCell ref="B137:R137"/>
    <mergeCell ref="B139:G139"/>
    <mergeCell ref="H134:I134"/>
    <mergeCell ref="J134:K134"/>
    <mergeCell ref="H130:I130"/>
    <mergeCell ref="C129:D129"/>
    <mergeCell ref="B115:R116"/>
    <mergeCell ref="B118:E118"/>
    <mergeCell ref="B119:R119"/>
    <mergeCell ref="J125:K125"/>
    <mergeCell ref="H126:I126"/>
    <mergeCell ref="J126:K126"/>
    <mergeCell ref="H127:I127"/>
    <mergeCell ref="J127:K127"/>
    <mergeCell ref="B124:D124"/>
    <mergeCell ref="B145:R145"/>
    <mergeCell ref="B148:I148"/>
    <mergeCell ref="B151:R151"/>
    <mergeCell ref="B155:R160"/>
    <mergeCell ref="B149:R150"/>
    <mergeCell ref="A258:F258"/>
    <mergeCell ref="B226:J226"/>
    <mergeCell ref="B232:F232"/>
    <mergeCell ref="B238:F238"/>
    <mergeCell ref="B244:E244"/>
    <mergeCell ref="B249:D249"/>
    <mergeCell ref="A257:F257"/>
    <mergeCell ref="B227:R229"/>
    <mergeCell ref="B245:R247"/>
    <mergeCell ref="K221:L221"/>
    <mergeCell ref="I221:J221"/>
    <mergeCell ref="G221:H221"/>
    <mergeCell ref="B242:R243"/>
    <mergeCell ref="C218:E218"/>
    <mergeCell ref="C219:D219"/>
    <mergeCell ref="C220:D220"/>
    <mergeCell ref="C213:E213"/>
    <mergeCell ref="C214:E214"/>
    <mergeCell ref="K219:L219"/>
    <mergeCell ref="K220:L220"/>
    <mergeCell ref="G220:H220"/>
    <mergeCell ref="I219:J219"/>
    <mergeCell ref="I220:J220"/>
    <mergeCell ref="G219:H219"/>
    <mergeCell ref="G209:H209"/>
    <mergeCell ref="G211:H211"/>
    <mergeCell ref="I213:J213"/>
    <mergeCell ref="K211:L211"/>
    <mergeCell ref="I209:J210"/>
    <mergeCell ref="K213:L213"/>
    <mergeCell ref="I211:J211"/>
    <mergeCell ref="G213:H213"/>
    <mergeCell ref="G216:H216"/>
    <mergeCell ref="I214:J214"/>
    <mergeCell ref="K214:L214"/>
    <mergeCell ref="R302:R303"/>
    <mergeCell ref="B250:R252"/>
    <mergeCell ref="B239:R241"/>
    <mergeCell ref="K216:L216"/>
    <mergeCell ref="I216:J216"/>
    <mergeCell ref="I215:J215"/>
    <mergeCell ref="K215:L215"/>
    <mergeCell ref="B144:F144"/>
    <mergeCell ref="B121:E121"/>
    <mergeCell ref="B122:R122"/>
    <mergeCell ref="H133:I133"/>
    <mergeCell ref="J133:K133"/>
    <mergeCell ref="H125:I125"/>
    <mergeCell ref="H131:I131"/>
    <mergeCell ref="J130:K130"/>
    <mergeCell ref="J131:K131"/>
    <mergeCell ref="C131:D131"/>
    <mergeCell ref="B187:F187"/>
    <mergeCell ref="T63:U63"/>
    <mergeCell ref="W63:X63"/>
    <mergeCell ref="B193:R193"/>
    <mergeCell ref="B171:H171"/>
    <mergeCell ref="C182:F182"/>
    <mergeCell ref="C183:F183"/>
    <mergeCell ref="C177:F177"/>
    <mergeCell ref="C178:F178"/>
    <mergeCell ref="B188:R189"/>
    <mergeCell ref="B192:J192"/>
    <mergeCell ref="U163:AF163"/>
    <mergeCell ref="C215:E215"/>
    <mergeCell ref="G215:H215"/>
    <mergeCell ref="K209:L210"/>
    <mergeCell ref="B205:D205"/>
    <mergeCell ref="B206:R206"/>
    <mergeCell ref="B208:E208"/>
    <mergeCell ref="B164:R165"/>
    <mergeCell ref="R287:R288"/>
    <mergeCell ref="B233:R235"/>
    <mergeCell ref="U166:Z166"/>
    <mergeCell ref="U167:AF168"/>
    <mergeCell ref="U170:AA170"/>
    <mergeCell ref="B154:F154"/>
    <mergeCell ref="K9:L9"/>
    <mergeCell ref="K10:L10"/>
    <mergeCell ref="K11:L11"/>
    <mergeCell ref="K12:L12"/>
    <mergeCell ref="K14:L14"/>
    <mergeCell ref="K15:L15"/>
    <mergeCell ref="K16:L17"/>
    <mergeCell ref="K18:L23"/>
    <mergeCell ref="K24:L24"/>
    <mergeCell ref="K25:L25"/>
    <mergeCell ref="K26:L26"/>
    <mergeCell ref="K27:L32"/>
    <mergeCell ref="K33:L34"/>
    <mergeCell ref="K35:L37"/>
    <mergeCell ref="K38:L38"/>
    <mergeCell ref="K39:L40"/>
    <mergeCell ref="K47:L47"/>
    <mergeCell ref="K48:L50"/>
    <mergeCell ref="K54:L55"/>
    <mergeCell ref="K41:L41"/>
    <mergeCell ref="K42:L44"/>
    <mergeCell ref="K45:L45"/>
    <mergeCell ref="K46:L46"/>
  </mergeCells>
  <printOptions/>
  <pageMargins left="0.8" right="0.75" top="1.25" bottom="0.4" header="0.5" footer="1.01"/>
  <pageSetup horizontalDpi="300" verticalDpi="300" orientation="portrait" paperSize="9" scale="90" r:id="rId2"/>
  <rowBreaks count="3" manualBreakCount="3">
    <brk id="59" max="255" man="1"/>
    <brk id="112" max="255" man="1"/>
    <brk id="288" max="255" man="1"/>
  </rowBreaks>
  <colBreaks count="1" manualBreakCount="1">
    <brk id="18" max="65535" man="1"/>
  </colBreaks>
  <drawing r:id="rId1"/>
</worksheet>
</file>

<file path=xl/worksheets/sheet10.xml><?xml version="1.0" encoding="utf-8"?>
<worksheet xmlns="http://schemas.openxmlformats.org/spreadsheetml/2006/main" xmlns:r="http://schemas.openxmlformats.org/officeDocument/2006/relationships">
  <dimension ref="A1:E31"/>
  <sheetViews>
    <sheetView workbookViewId="0" topLeftCell="A15">
      <selection activeCell="C24" sqref="C24"/>
    </sheetView>
  </sheetViews>
  <sheetFormatPr defaultColWidth="9.140625" defaultRowHeight="12.75"/>
  <cols>
    <col min="1" max="1" width="10.7109375" style="35" customWidth="1"/>
    <col min="2" max="2" width="35.7109375" style="35" customWidth="1"/>
    <col min="3" max="6" width="15.7109375" style="98" customWidth="1"/>
  </cols>
  <sheetData>
    <row r="1" spans="1:2" ht="15">
      <c r="A1" s="35" t="s">
        <v>280</v>
      </c>
      <c r="B1" s="97"/>
    </row>
    <row r="2" spans="1:2" ht="15">
      <c r="A2" s="120" t="str">
        <f>'[3]DMSB'!A2</f>
        <v>Consolidation entries for the year ended 31 December 1999</v>
      </c>
      <c r="B2" s="97"/>
    </row>
    <row r="3" spans="1:2" ht="15">
      <c r="A3" s="103" t="s">
        <v>382</v>
      </c>
      <c r="B3" s="97"/>
    </row>
    <row r="4" ht="15">
      <c r="B4" s="102"/>
    </row>
    <row r="5" spans="1:2" ht="15">
      <c r="A5" s="99"/>
      <c r="B5" s="99"/>
    </row>
    <row r="6" spans="1:5" ht="15">
      <c r="A6" s="99"/>
      <c r="B6" s="99"/>
      <c r="C6" s="106" t="s">
        <v>295</v>
      </c>
      <c r="D6" s="106" t="s">
        <v>296</v>
      </c>
      <c r="E6" s="116" t="s">
        <v>297</v>
      </c>
    </row>
    <row r="7" spans="1:2" ht="15">
      <c r="A7" s="103" t="s">
        <v>298</v>
      </c>
      <c r="B7" s="99"/>
    </row>
    <row r="8" spans="1:3" ht="15">
      <c r="A8" s="118" t="s">
        <v>216</v>
      </c>
      <c r="B8" s="99" t="s">
        <v>299</v>
      </c>
      <c r="C8" s="98">
        <v>3</v>
      </c>
    </row>
    <row r="9" spans="1:3" ht="15">
      <c r="A9" s="138"/>
      <c r="B9" s="99" t="s">
        <v>339</v>
      </c>
      <c r="C9" s="98">
        <v>6259</v>
      </c>
    </row>
    <row r="10" spans="1:4" ht="15">
      <c r="A10" s="138"/>
      <c r="B10" s="99" t="s">
        <v>301</v>
      </c>
      <c r="D10" s="98">
        <f>C9+C8</f>
        <v>6262</v>
      </c>
    </row>
    <row r="11" spans="1:4" ht="15">
      <c r="A11" s="138"/>
      <c r="B11" s="99"/>
      <c r="C11" s="121">
        <f>SUM(C8:C10)</f>
        <v>6262</v>
      </c>
      <c r="D11" s="121">
        <f>SUM(D8:D10)</f>
        <v>6262</v>
      </c>
    </row>
    <row r="12" spans="1:2" ht="15">
      <c r="A12" s="138"/>
      <c r="B12" s="99" t="s">
        <v>383</v>
      </c>
    </row>
    <row r="13" spans="1:2" ht="15">
      <c r="A13" s="138"/>
      <c r="B13" s="99"/>
    </row>
    <row r="14" spans="1:2" ht="15">
      <c r="A14" s="138"/>
      <c r="B14" s="99"/>
    </row>
    <row r="15" spans="1:3" ht="15">
      <c r="A15" s="118" t="s">
        <v>217</v>
      </c>
      <c r="B15" s="99" t="s">
        <v>299</v>
      </c>
      <c r="C15" s="98">
        <v>3</v>
      </c>
    </row>
    <row r="16" spans="1:3" ht="15">
      <c r="A16" s="138"/>
      <c r="B16" s="99" t="s">
        <v>339</v>
      </c>
      <c r="C16" s="98">
        <v>6259</v>
      </c>
    </row>
    <row r="17" spans="1:4" ht="15">
      <c r="A17" s="138"/>
      <c r="B17" s="99" t="s">
        <v>301</v>
      </c>
      <c r="D17" s="98">
        <f>C16+C15</f>
        <v>6262</v>
      </c>
    </row>
    <row r="18" spans="1:4" ht="15">
      <c r="A18" s="138"/>
      <c r="B18" s="99"/>
      <c r="C18" s="121">
        <f>SUM(C15:C17)</f>
        <v>6262</v>
      </c>
      <c r="D18" s="121">
        <f>SUM(D15:D17)</f>
        <v>6262</v>
      </c>
    </row>
    <row r="19" spans="1:2" ht="15">
      <c r="A19" s="138"/>
      <c r="B19" s="99" t="s">
        <v>384</v>
      </c>
    </row>
    <row r="20" spans="1:2" ht="15">
      <c r="A20" s="138"/>
      <c r="B20" s="99"/>
    </row>
    <row r="21" spans="1:2" ht="15">
      <c r="A21" s="138"/>
      <c r="B21" s="99"/>
    </row>
    <row r="22" spans="1:5" ht="15">
      <c r="A22" s="118" t="s">
        <v>218</v>
      </c>
      <c r="B22" s="99" t="s">
        <v>300</v>
      </c>
      <c r="C22" s="98">
        <f>500+500+500</f>
        <v>1500</v>
      </c>
      <c r="E22" s="98" t="s">
        <v>547</v>
      </c>
    </row>
    <row r="23" spans="1:5" ht="15">
      <c r="A23" s="138"/>
      <c r="B23" s="99" t="s">
        <v>385</v>
      </c>
      <c r="C23" s="98">
        <f>+(41.6666666666667)*3</f>
        <v>125</v>
      </c>
      <c r="E23" s="98" t="s">
        <v>386</v>
      </c>
    </row>
    <row r="24" spans="1:4" ht="15">
      <c r="A24" s="138"/>
      <c r="B24" s="99" t="s">
        <v>342</v>
      </c>
      <c r="D24" s="98">
        <f>C22+C23</f>
        <v>1625</v>
      </c>
    </row>
    <row r="25" spans="1:4" ht="15">
      <c r="A25" s="138"/>
      <c r="B25" s="99"/>
      <c r="C25" s="121">
        <f>SUM(C22:C24)</f>
        <v>1625</v>
      </c>
      <c r="D25" s="121">
        <f>SUM(D22:D24)</f>
        <v>1625</v>
      </c>
    </row>
    <row r="26" spans="1:2" ht="15">
      <c r="A26" s="138"/>
      <c r="B26" s="99" t="s">
        <v>387</v>
      </c>
    </row>
    <row r="27" spans="1:2" ht="15">
      <c r="A27" s="138"/>
      <c r="B27" s="99"/>
    </row>
    <row r="28" spans="1:2" ht="15">
      <c r="A28" s="138"/>
      <c r="B28" s="99"/>
    </row>
    <row r="29" ht="15">
      <c r="A29" s="128"/>
    </row>
    <row r="30" ht="15">
      <c r="A30" s="129"/>
    </row>
    <row r="31" ht="15">
      <c r="A31" s="129"/>
    </row>
  </sheetData>
  <printOptions/>
  <pageMargins left="0.75" right="0.75" top="1" bottom="1" header="0.5" footer="0.5"/>
  <pageSetup horizontalDpi="300" verticalDpi="300" orientation="portrait" scale="80" r:id="rId1"/>
</worksheet>
</file>

<file path=xl/worksheets/sheet11.xml><?xml version="1.0" encoding="utf-8"?>
<worksheet xmlns="http://schemas.openxmlformats.org/spreadsheetml/2006/main" xmlns:r="http://schemas.openxmlformats.org/officeDocument/2006/relationships">
  <dimension ref="A1:IV56"/>
  <sheetViews>
    <sheetView zoomScale="75" zoomScaleNormal="75" workbookViewId="0" topLeftCell="A34">
      <selection activeCell="E47" sqref="E47"/>
    </sheetView>
  </sheetViews>
  <sheetFormatPr defaultColWidth="12.7109375" defaultRowHeight="12.75"/>
  <cols>
    <col min="1" max="1" width="10.7109375" style="35" customWidth="1"/>
    <col min="2" max="2" width="39.57421875" style="35" customWidth="1"/>
    <col min="3" max="3" width="15.7109375" style="139" customWidth="1"/>
    <col min="4" max="5" width="15.7109375" style="98" customWidth="1"/>
    <col min="6" max="6" width="14.57421875" style="35" customWidth="1"/>
    <col min="7" max="32" width="12.7109375" style="35" customWidth="1"/>
  </cols>
  <sheetData>
    <row r="1" spans="1:2" ht="15">
      <c r="A1" s="35" t="s">
        <v>280</v>
      </c>
      <c r="B1" s="97"/>
    </row>
    <row r="2" spans="1:2" ht="15">
      <c r="A2" s="120" t="str">
        <f>'[4]C-4(DMSB)'!A2</f>
        <v>Consolidation entries for the year ended 31 December 1999</v>
      </c>
      <c r="B2" s="97"/>
    </row>
    <row r="3" spans="1:2" ht="15">
      <c r="A3" s="103" t="s">
        <v>548</v>
      </c>
      <c r="B3" s="97"/>
    </row>
    <row r="4" ht="15">
      <c r="B4" s="102"/>
    </row>
    <row r="5" spans="1:256" ht="15">
      <c r="A5" s="137" t="s">
        <v>388</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c r="IR5" s="99"/>
      <c r="IS5" s="99"/>
      <c r="IT5" s="99"/>
      <c r="IU5" s="99"/>
      <c r="IV5" s="99"/>
    </row>
    <row r="6" spans="3:256" ht="15">
      <c r="C6" s="140" t="s">
        <v>202</v>
      </c>
      <c r="D6" s="139" t="s">
        <v>549</v>
      </c>
      <c r="E6" s="106" t="s">
        <v>201</v>
      </c>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c r="IR6" s="99"/>
      <c r="IS6" s="99"/>
      <c r="IT6" s="99"/>
      <c r="IU6" s="99"/>
      <c r="IV6" s="99"/>
    </row>
    <row r="7" spans="1:256" ht="15">
      <c r="A7" s="35" t="s">
        <v>550</v>
      </c>
      <c r="C7" s="306">
        <v>77062000</v>
      </c>
      <c r="D7" s="307">
        <v>2.0251</v>
      </c>
      <c r="E7" s="98">
        <f>C7*D7</f>
        <v>156058256.20000002</v>
      </c>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c r="IR7" s="99"/>
      <c r="IS7" s="99"/>
      <c r="IT7" s="99"/>
      <c r="IU7" s="99"/>
      <c r="IV7" s="99"/>
    </row>
    <row r="8" spans="1:256" ht="15">
      <c r="A8" s="142" t="s">
        <v>551</v>
      </c>
      <c r="C8" s="306">
        <v>4173000</v>
      </c>
      <c r="D8" s="66">
        <f>(1.998+1.959)/2</f>
        <v>1.9785</v>
      </c>
      <c r="E8" s="306">
        <f>C8*D8</f>
        <v>8256280.5</v>
      </c>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c r="IR8" s="99"/>
      <c r="IS8" s="99"/>
      <c r="IT8" s="99"/>
      <c r="IU8" s="99"/>
      <c r="IV8" s="99"/>
    </row>
    <row r="9" spans="1:256" ht="15">
      <c r="A9" s="142" t="s">
        <v>552</v>
      </c>
      <c r="C9" s="306">
        <v>-1545000</v>
      </c>
      <c r="D9" s="66">
        <f>(1.998+1.959)/2</f>
        <v>1.9785</v>
      </c>
      <c r="E9" s="306">
        <f>C9*D9</f>
        <v>-3056782.5</v>
      </c>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c r="IR9" s="99"/>
      <c r="IS9" s="99"/>
      <c r="IT9" s="99"/>
      <c r="IU9" s="99"/>
      <c r="IV9" s="99"/>
    </row>
    <row r="10" spans="1:256" ht="15">
      <c r="A10" s="35" t="s">
        <v>113</v>
      </c>
      <c r="C10" s="306">
        <v>-2322000</v>
      </c>
      <c r="D10" s="66">
        <f>(1.998+1.959)/2</f>
        <v>1.9785</v>
      </c>
      <c r="E10" s="306">
        <f>C10*D10</f>
        <v>-4594077</v>
      </c>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c r="IR10" s="99"/>
      <c r="IS10" s="99"/>
      <c r="IT10" s="99"/>
      <c r="IU10" s="99"/>
      <c r="IV10" s="99"/>
    </row>
    <row r="11" spans="3:256" ht="15">
      <c r="C11" s="308"/>
      <c r="E11" s="306"/>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c r="IR11" s="99"/>
      <c r="IS11" s="99"/>
      <c r="IT11" s="99"/>
      <c r="IU11" s="99"/>
      <c r="IV11" s="99"/>
    </row>
    <row r="12" spans="1:256" ht="15">
      <c r="A12" s="35" t="s">
        <v>553</v>
      </c>
      <c r="C12" s="306">
        <f>SUM(C7:C10)</f>
        <v>77368000</v>
      </c>
      <c r="D12" s="307"/>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c r="IR12" s="99"/>
      <c r="IS12" s="99"/>
      <c r="IT12" s="99"/>
      <c r="IU12" s="99"/>
      <c r="IV12" s="99"/>
    </row>
    <row r="13" spans="1:256" ht="15">
      <c r="A13" s="142" t="s">
        <v>554</v>
      </c>
      <c r="C13" s="306">
        <v>5358000</v>
      </c>
      <c r="D13" s="66">
        <f>(1.998+1.959)/2</f>
        <v>1.9785</v>
      </c>
      <c r="E13" s="306">
        <f>C13*D13</f>
        <v>10600803</v>
      </c>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row>
    <row r="14" spans="1:256" ht="15">
      <c r="A14" s="142" t="s">
        <v>555</v>
      </c>
      <c r="C14" s="306">
        <v>-1705000</v>
      </c>
      <c r="D14" s="66">
        <f>(1.998+1.959)/2</f>
        <v>1.9785</v>
      </c>
      <c r="E14" s="306">
        <f>C14*D14</f>
        <v>-3373342.5</v>
      </c>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row>
    <row r="15" spans="1:256" ht="15">
      <c r="A15" s="35" t="s">
        <v>113</v>
      </c>
      <c r="C15" s="306">
        <v>-2785000</v>
      </c>
      <c r="D15" s="66">
        <f>(1.998+1.959)/2</f>
        <v>1.9785</v>
      </c>
      <c r="E15" s="306">
        <f>C15*D15</f>
        <v>-5510122.5</v>
      </c>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c r="IV15" s="99"/>
    </row>
    <row r="16" spans="3:256" ht="15">
      <c r="C16" s="306"/>
      <c r="D16" s="66"/>
      <c r="E16" s="306"/>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c r="IR16" s="99"/>
      <c r="IS16" s="99"/>
      <c r="IT16" s="99"/>
      <c r="IU16" s="99"/>
      <c r="IV16" s="99"/>
    </row>
    <row r="17" spans="1:256" ht="15">
      <c r="A17" s="35" t="s">
        <v>556</v>
      </c>
      <c r="C17" s="306"/>
      <c r="E17" s="306">
        <f>E19-SUM(E7:E15)</f>
        <v>-5742579.200000018</v>
      </c>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row>
    <row r="18" spans="3:256" ht="15">
      <c r="C18" s="306"/>
      <c r="E18" s="306"/>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c r="DY18" s="99"/>
      <c r="DZ18" s="99"/>
      <c r="EA18" s="99"/>
      <c r="EB18" s="99"/>
      <c r="EC18" s="99"/>
      <c r="ED18" s="99"/>
      <c r="EE18" s="99"/>
      <c r="EF18" s="99"/>
      <c r="EG18" s="99"/>
      <c r="EH18" s="99"/>
      <c r="EI18" s="99"/>
      <c r="EJ18" s="99"/>
      <c r="EK18" s="99"/>
      <c r="EL18" s="99"/>
      <c r="EM18" s="99"/>
      <c r="EN18" s="99"/>
      <c r="EO18" s="99"/>
      <c r="EP18" s="99"/>
      <c r="EQ18" s="99"/>
      <c r="ER18" s="99"/>
      <c r="ES18" s="99"/>
      <c r="ET18" s="99"/>
      <c r="EU18" s="99"/>
      <c r="EV18" s="99"/>
      <c r="EW18" s="99"/>
      <c r="EX18" s="99"/>
      <c r="EY18" s="99"/>
      <c r="EZ18" s="99"/>
      <c r="FA18" s="99"/>
      <c r="FB18" s="99"/>
      <c r="FC18" s="99"/>
      <c r="FD18" s="99"/>
      <c r="FE18" s="99"/>
      <c r="FF18" s="99"/>
      <c r="FG18" s="99"/>
      <c r="FH18" s="99"/>
      <c r="FI18" s="99"/>
      <c r="FJ18" s="99"/>
      <c r="FK18" s="99"/>
      <c r="FL18" s="99"/>
      <c r="FM18" s="99"/>
      <c r="FN18" s="99"/>
      <c r="FO18" s="99"/>
      <c r="FP18" s="99"/>
      <c r="FQ18" s="99"/>
      <c r="FR18" s="99"/>
      <c r="FS18" s="99"/>
      <c r="FT18" s="99"/>
      <c r="FU18" s="99"/>
      <c r="FV18" s="99"/>
      <c r="FW18" s="99"/>
      <c r="FX18" s="99"/>
      <c r="FY18" s="99"/>
      <c r="FZ18" s="99"/>
      <c r="GA18" s="99"/>
      <c r="GB18" s="99"/>
      <c r="GC18" s="99"/>
      <c r="GD18" s="99"/>
      <c r="GE18" s="99"/>
      <c r="GF18" s="99"/>
      <c r="GG18" s="99"/>
      <c r="GH18" s="99"/>
      <c r="GI18" s="99"/>
      <c r="GJ18" s="99"/>
      <c r="GK18" s="99"/>
      <c r="GL18" s="99"/>
      <c r="GM18" s="99"/>
      <c r="GN18" s="99"/>
      <c r="GO18" s="99"/>
      <c r="GP18" s="99"/>
      <c r="GQ18" s="99"/>
      <c r="GR18" s="99"/>
      <c r="GS18" s="99"/>
      <c r="GT18" s="99"/>
      <c r="GU18" s="99"/>
      <c r="GV18" s="99"/>
      <c r="GW18" s="99"/>
      <c r="GX18" s="99"/>
      <c r="GY18" s="99"/>
      <c r="GZ18" s="99"/>
      <c r="HA18" s="99"/>
      <c r="HB18" s="99"/>
      <c r="HC18" s="99"/>
      <c r="HD18" s="99"/>
      <c r="HE18" s="99"/>
      <c r="HF18" s="99"/>
      <c r="HG18" s="99"/>
      <c r="HH18" s="99"/>
      <c r="HI18" s="99"/>
      <c r="HJ18" s="99"/>
      <c r="HK18" s="99"/>
      <c r="HL18" s="99"/>
      <c r="HM18" s="99"/>
      <c r="HN18" s="99"/>
      <c r="HO18" s="99"/>
      <c r="HP18" s="99"/>
      <c r="HQ18" s="99"/>
      <c r="HR18" s="99"/>
      <c r="HS18" s="99"/>
      <c r="HT18" s="99"/>
      <c r="HU18" s="99"/>
      <c r="HV18" s="99"/>
      <c r="HW18" s="99"/>
      <c r="HX18" s="99"/>
      <c r="HY18" s="99"/>
      <c r="HZ18" s="99"/>
      <c r="IA18" s="99"/>
      <c r="IB18" s="99"/>
      <c r="IC18" s="99"/>
      <c r="ID18" s="99"/>
      <c r="IE18" s="99"/>
      <c r="IF18" s="99"/>
      <c r="IG18" s="99"/>
      <c r="IH18" s="99"/>
      <c r="II18" s="99"/>
      <c r="IJ18" s="99"/>
      <c r="IK18" s="99"/>
      <c r="IL18" s="99"/>
      <c r="IM18" s="99"/>
      <c r="IN18" s="99"/>
      <c r="IO18" s="99"/>
      <c r="IP18" s="99"/>
      <c r="IQ18" s="99"/>
      <c r="IR18" s="99"/>
      <c r="IS18" s="99"/>
      <c r="IT18" s="99"/>
      <c r="IU18" s="99"/>
      <c r="IV18" s="99"/>
    </row>
    <row r="19" spans="1:256" ht="15.75" thickBot="1">
      <c r="A19" s="35" t="s">
        <v>557</v>
      </c>
      <c r="C19" s="309">
        <f>SUM(C12:C18)</f>
        <v>78236000</v>
      </c>
      <c r="D19" s="84">
        <v>1.951</v>
      </c>
      <c r="E19" s="126">
        <f>C19*D19</f>
        <v>152638436</v>
      </c>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99"/>
      <c r="GE19" s="99"/>
      <c r="GF19" s="99"/>
      <c r="GG19" s="99"/>
      <c r="GH19" s="99"/>
      <c r="GI19" s="99"/>
      <c r="GJ19" s="99"/>
      <c r="GK19" s="99"/>
      <c r="GL19" s="99"/>
      <c r="GM19" s="99"/>
      <c r="GN19" s="99"/>
      <c r="GO19" s="99"/>
      <c r="GP19" s="99"/>
      <c r="GQ19" s="99"/>
      <c r="GR19" s="99"/>
      <c r="GS19" s="99"/>
      <c r="GT19" s="99"/>
      <c r="GU19" s="99"/>
      <c r="GV19" s="99"/>
      <c r="GW19" s="99"/>
      <c r="GX19" s="99"/>
      <c r="GY19" s="99"/>
      <c r="GZ19" s="99"/>
      <c r="HA19" s="99"/>
      <c r="HB19" s="99"/>
      <c r="HC19" s="99"/>
      <c r="HD19" s="99"/>
      <c r="HE19" s="99"/>
      <c r="HF19" s="99"/>
      <c r="HG19" s="99"/>
      <c r="HH19" s="99"/>
      <c r="HI19" s="99"/>
      <c r="HJ19" s="99"/>
      <c r="HK19" s="99"/>
      <c r="HL19" s="99"/>
      <c r="HM19" s="99"/>
      <c r="HN19" s="99"/>
      <c r="HO19" s="99"/>
      <c r="HP19" s="99"/>
      <c r="HQ19" s="99"/>
      <c r="HR19" s="99"/>
      <c r="HS19" s="99"/>
      <c r="HT19" s="99"/>
      <c r="HU19" s="99"/>
      <c r="HV19" s="99"/>
      <c r="HW19" s="99"/>
      <c r="HX19" s="99"/>
      <c r="HY19" s="99"/>
      <c r="HZ19" s="99"/>
      <c r="IA19" s="99"/>
      <c r="IB19" s="99"/>
      <c r="IC19" s="99"/>
      <c r="ID19" s="99"/>
      <c r="IE19" s="99"/>
      <c r="IF19" s="99"/>
      <c r="IG19" s="99"/>
      <c r="IH19" s="99"/>
      <c r="II19" s="99"/>
      <c r="IJ19" s="99"/>
      <c r="IK19" s="99"/>
      <c r="IL19" s="99"/>
      <c r="IM19" s="99"/>
      <c r="IN19" s="99"/>
      <c r="IO19" s="99"/>
      <c r="IP19" s="99"/>
      <c r="IQ19" s="99"/>
      <c r="IR19" s="99"/>
      <c r="IS19" s="99"/>
      <c r="IT19" s="99"/>
      <c r="IU19" s="99"/>
      <c r="IV19" s="99"/>
    </row>
    <row r="20" spans="3:256" ht="15.75" thickTop="1">
      <c r="C20" s="306"/>
      <c r="E20" s="140"/>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U20" s="99"/>
      <c r="EV20" s="99"/>
      <c r="EW20" s="99"/>
      <c r="EX20" s="99"/>
      <c r="EY20" s="99"/>
      <c r="EZ20" s="99"/>
      <c r="FA20" s="99"/>
      <c r="FB20" s="99"/>
      <c r="FC20" s="99"/>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H20" s="99"/>
      <c r="GI20" s="99"/>
      <c r="GJ20" s="99"/>
      <c r="GK20" s="99"/>
      <c r="GL20" s="99"/>
      <c r="GM20" s="99"/>
      <c r="GN20" s="99"/>
      <c r="GO20" s="99"/>
      <c r="GP20" s="99"/>
      <c r="GQ20" s="99"/>
      <c r="GR20" s="99"/>
      <c r="GS20" s="99"/>
      <c r="GT20" s="99"/>
      <c r="GU20" s="99"/>
      <c r="GV20" s="99"/>
      <c r="GW20" s="99"/>
      <c r="GX20" s="99"/>
      <c r="GY20" s="99"/>
      <c r="GZ20" s="99"/>
      <c r="HA20" s="99"/>
      <c r="HB20" s="99"/>
      <c r="HC20" s="99"/>
      <c r="HD20" s="99"/>
      <c r="HE20" s="99"/>
      <c r="HF20" s="99"/>
      <c r="HG20" s="99"/>
      <c r="HH20" s="99"/>
      <c r="HI20" s="99"/>
      <c r="HJ20" s="99"/>
      <c r="HK20" s="99"/>
      <c r="HL20" s="99"/>
      <c r="HM20" s="99"/>
      <c r="HN20" s="99"/>
      <c r="HO20" s="99"/>
      <c r="HP20" s="99"/>
      <c r="HQ20" s="99"/>
      <c r="HR20" s="99"/>
      <c r="HS20" s="99"/>
      <c r="HT20" s="99"/>
      <c r="HU20" s="99"/>
      <c r="HV20" s="99"/>
      <c r="HW20" s="99"/>
      <c r="HX20" s="99"/>
      <c r="HY20" s="99"/>
      <c r="HZ20" s="99"/>
      <c r="IA20" s="99"/>
      <c r="IB20" s="99"/>
      <c r="IC20" s="99"/>
      <c r="ID20" s="99"/>
      <c r="IE20" s="99"/>
      <c r="IF20" s="99"/>
      <c r="IG20" s="99"/>
      <c r="IH20" s="99"/>
      <c r="II20" s="99"/>
      <c r="IJ20" s="99"/>
      <c r="IK20" s="99"/>
      <c r="IL20" s="99"/>
      <c r="IM20" s="99"/>
      <c r="IN20" s="99"/>
      <c r="IO20" s="99"/>
      <c r="IP20" s="99"/>
      <c r="IQ20" s="99"/>
      <c r="IR20" s="99"/>
      <c r="IS20" s="99"/>
      <c r="IT20" s="99"/>
      <c r="IU20" s="99"/>
      <c r="IV20" s="99"/>
    </row>
    <row r="21" spans="1:256" ht="15">
      <c r="A21" s="35" t="s">
        <v>558</v>
      </c>
      <c r="E21" s="311">
        <f>E8+E13</f>
        <v>18857083.5</v>
      </c>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c r="HP21" s="99"/>
      <c r="HQ21" s="99"/>
      <c r="HR21" s="99"/>
      <c r="HS21" s="99"/>
      <c r="HT21" s="99"/>
      <c r="HU21" s="99"/>
      <c r="HV21" s="99"/>
      <c r="HW21" s="99"/>
      <c r="HX21" s="99"/>
      <c r="HY21" s="99"/>
      <c r="HZ21" s="99"/>
      <c r="IA21" s="99"/>
      <c r="IB21" s="99"/>
      <c r="IC21" s="99"/>
      <c r="ID21" s="99"/>
      <c r="IE21" s="99"/>
      <c r="IF21" s="99"/>
      <c r="IG21" s="99"/>
      <c r="IH21" s="99"/>
      <c r="II21" s="99"/>
      <c r="IJ21" s="99"/>
      <c r="IK21" s="99"/>
      <c r="IL21" s="99"/>
      <c r="IM21" s="99"/>
      <c r="IN21" s="99"/>
      <c r="IO21" s="99"/>
      <c r="IP21" s="99"/>
      <c r="IQ21" s="99"/>
      <c r="IR21" s="99"/>
      <c r="IS21" s="99"/>
      <c r="IT21" s="99"/>
      <c r="IU21" s="99"/>
      <c r="IV21" s="99"/>
    </row>
    <row r="22" spans="1:256" ht="15">
      <c r="A22" s="35" t="s">
        <v>559</v>
      </c>
      <c r="C22" s="306"/>
      <c r="E22" s="312">
        <f>E9+E14</f>
        <v>-6430125</v>
      </c>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c r="IF22" s="99"/>
      <c r="IG22" s="99"/>
      <c r="IH22" s="99"/>
      <c r="II22" s="99"/>
      <c r="IJ22" s="99"/>
      <c r="IK22" s="99"/>
      <c r="IL22" s="99"/>
      <c r="IM22" s="99"/>
      <c r="IN22" s="99"/>
      <c r="IO22" s="99"/>
      <c r="IP22" s="99"/>
      <c r="IQ22" s="99"/>
      <c r="IR22" s="99"/>
      <c r="IS22" s="99"/>
      <c r="IT22" s="99"/>
      <c r="IU22" s="99"/>
      <c r="IV22" s="99"/>
    </row>
    <row r="23" spans="1:256" ht="15">
      <c r="A23" s="35" t="s">
        <v>570</v>
      </c>
      <c r="C23" s="306"/>
      <c r="D23" s="314">
        <v>1.8485</v>
      </c>
      <c r="E23" s="313">
        <f>+'ACC-CMC'!D12*CMC!D23</f>
        <v>4561173.75</v>
      </c>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c r="IF23" s="99"/>
      <c r="IG23" s="99"/>
      <c r="IH23" s="99"/>
      <c r="II23" s="99"/>
      <c r="IJ23" s="99"/>
      <c r="IK23" s="99"/>
      <c r="IL23" s="99"/>
      <c r="IM23" s="99"/>
      <c r="IN23" s="99"/>
      <c r="IO23" s="99"/>
      <c r="IP23" s="99"/>
      <c r="IQ23" s="99"/>
      <c r="IR23" s="99"/>
      <c r="IS23" s="99"/>
      <c r="IT23" s="99"/>
      <c r="IU23" s="99"/>
      <c r="IV23" s="99"/>
    </row>
    <row r="24" spans="1:256" ht="15">
      <c r="A24" s="35" t="s">
        <v>571</v>
      </c>
      <c r="C24" s="306"/>
      <c r="E24" s="312">
        <f>+'ACC-CMC'!D14*CMC!D23</f>
        <v>-1505187.3375000001</v>
      </c>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c r="HP24" s="99"/>
      <c r="HQ24" s="99"/>
      <c r="HR24" s="99"/>
      <c r="HS24" s="99"/>
      <c r="HT24" s="99"/>
      <c r="HU24" s="99"/>
      <c r="HV24" s="99"/>
      <c r="HW24" s="99"/>
      <c r="HX24" s="99"/>
      <c r="HY24" s="99"/>
      <c r="HZ24" s="99"/>
      <c r="IA24" s="99"/>
      <c r="IB24" s="99"/>
      <c r="IC24" s="99"/>
      <c r="ID24" s="99"/>
      <c r="IE24" s="99"/>
      <c r="IF24" s="99"/>
      <c r="IG24" s="99"/>
      <c r="IH24" s="99"/>
      <c r="II24" s="99"/>
      <c r="IJ24" s="99"/>
      <c r="IK24" s="99"/>
      <c r="IL24" s="99"/>
      <c r="IM24" s="99"/>
      <c r="IN24" s="99"/>
      <c r="IO24" s="99"/>
      <c r="IP24" s="99"/>
      <c r="IQ24" s="99"/>
      <c r="IR24" s="99"/>
      <c r="IS24" s="99"/>
      <c r="IT24" s="99"/>
      <c r="IU24" s="99"/>
      <c r="IV24" s="99"/>
    </row>
    <row r="25" spans="3:256" s="132" customFormat="1" ht="15">
      <c r="C25" s="306"/>
      <c r="D25" s="310"/>
      <c r="E25" s="306"/>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0"/>
      <c r="DV25" s="120"/>
      <c r="DW25" s="120"/>
      <c r="DX25" s="120"/>
      <c r="DY25" s="120"/>
      <c r="DZ25" s="120"/>
      <c r="EA25" s="120"/>
      <c r="EB25" s="120"/>
      <c r="EC25" s="120"/>
      <c r="ED25" s="120"/>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0"/>
      <c r="IP25" s="120"/>
      <c r="IQ25" s="120"/>
      <c r="IR25" s="120"/>
      <c r="IS25" s="120"/>
      <c r="IT25" s="120"/>
      <c r="IU25" s="120"/>
      <c r="IV25" s="120"/>
    </row>
    <row r="26" spans="1:256" s="132" customFormat="1" ht="15">
      <c r="A26" s="132" t="s">
        <v>560</v>
      </c>
      <c r="C26" s="306"/>
      <c r="D26" s="310"/>
      <c r="E26" s="313">
        <f>E21*0.249</f>
        <v>4695413.7915</v>
      </c>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0"/>
      <c r="DV26" s="120"/>
      <c r="DW26" s="120"/>
      <c r="DX26" s="120"/>
      <c r="DY26" s="120"/>
      <c r="DZ26" s="120"/>
      <c r="EA26" s="120"/>
      <c r="EB26" s="120"/>
      <c r="EC26" s="120"/>
      <c r="ED26" s="120"/>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0"/>
      <c r="IP26" s="120"/>
      <c r="IQ26" s="120"/>
      <c r="IR26" s="120"/>
      <c r="IS26" s="120"/>
      <c r="IT26" s="120"/>
      <c r="IU26" s="120"/>
      <c r="IV26" s="120"/>
    </row>
    <row r="27" spans="1:256" s="132" customFormat="1" ht="15">
      <c r="A27" s="132" t="s">
        <v>561</v>
      </c>
      <c r="C27" s="306"/>
      <c r="D27" s="310"/>
      <c r="E27" s="312">
        <f>E22*0.249</f>
        <v>-1601101.125</v>
      </c>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0"/>
      <c r="DX27" s="120"/>
      <c r="DY27" s="120"/>
      <c r="DZ27" s="120"/>
      <c r="EA27" s="120"/>
      <c r="EB27" s="120"/>
      <c r="EC27" s="120"/>
      <c r="ED27" s="120"/>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0"/>
      <c r="IP27" s="120"/>
      <c r="IQ27" s="120"/>
      <c r="IR27" s="120"/>
      <c r="IS27" s="120"/>
      <c r="IT27" s="120"/>
      <c r="IU27" s="120"/>
      <c r="IV27" s="120"/>
    </row>
    <row r="28" spans="1:256" s="132" customFormat="1" ht="15">
      <c r="A28" s="132" t="s">
        <v>572</v>
      </c>
      <c r="C28" s="306"/>
      <c r="D28" s="315">
        <v>0.249</v>
      </c>
      <c r="E28" s="313">
        <f>+D28*E23</f>
        <v>1135732.26375</v>
      </c>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0"/>
      <c r="DV28" s="120"/>
      <c r="DW28" s="120"/>
      <c r="DX28" s="120"/>
      <c r="DY28" s="120"/>
      <c r="DZ28" s="120"/>
      <c r="EA28" s="120"/>
      <c r="EB28" s="120"/>
      <c r="EC28" s="120"/>
      <c r="ED28" s="120"/>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0"/>
      <c r="IP28" s="120"/>
      <c r="IQ28" s="120"/>
      <c r="IR28" s="120"/>
      <c r="IS28" s="120"/>
      <c r="IT28" s="120"/>
      <c r="IU28" s="120"/>
      <c r="IV28" s="120"/>
    </row>
    <row r="29" spans="1:256" s="132" customFormat="1" ht="15">
      <c r="A29" s="132" t="s">
        <v>573</v>
      </c>
      <c r="C29" s="306"/>
      <c r="D29" s="310"/>
      <c r="E29" s="312">
        <f>+D28*E24</f>
        <v>-374791.64703750005</v>
      </c>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120"/>
      <c r="DX29" s="120"/>
      <c r="DY29" s="120"/>
      <c r="DZ29" s="120"/>
      <c r="EA29" s="120"/>
      <c r="EB29" s="120"/>
      <c r="EC29" s="120"/>
      <c r="ED29" s="120"/>
      <c r="EE29" s="120"/>
      <c r="EF29" s="120"/>
      <c r="EG29" s="120"/>
      <c r="EH29" s="120"/>
      <c r="EI29" s="120"/>
      <c r="EJ29" s="120"/>
      <c r="EK29" s="120"/>
      <c r="EL29" s="120"/>
      <c r="EM29" s="120"/>
      <c r="EN29" s="120"/>
      <c r="EO29" s="120"/>
      <c r="EP29" s="120"/>
      <c r="EQ29" s="120"/>
      <c r="ER29" s="120"/>
      <c r="ES29" s="120"/>
      <c r="ET29" s="120"/>
      <c r="EU29" s="120"/>
      <c r="EV29" s="120"/>
      <c r="EW29" s="120"/>
      <c r="EX29" s="120"/>
      <c r="EY29" s="120"/>
      <c r="EZ29" s="120"/>
      <c r="FA29" s="120"/>
      <c r="FB29" s="120"/>
      <c r="FC29" s="120"/>
      <c r="FD29" s="120"/>
      <c r="FE29" s="120"/>
      <c r="FF29" s="120"/>
      <c r="FG29" s="120"/>
      <c r="FH29" s="120"/>
      <c r="FI29" s="120"/>
      <c r="FJ29" s="120"/>
      <c r="FK29" s="120"/>
      <c r="FL29" s="120"/>
      <c r="FM29" s="120"/>
      <c r="FN29" s="120"/>
      <c r="FO29" s="120"/>
      <c r="FP29" s="120"/>
      <c r="FQ29" s="120"/>
      <c r="FR29" s="120"/>
      <c r="FS29" s="120"/>
      <c r="FT29" s="120"/>
      <c r="FU29" s="120"/>
      <c r="FV29" s="120"/>
      <c r="FW29" s="120"/>
      <c r="FX29" s="120"/>
      <c r="FY29" s="120"/>
      <c r="FZ29" s="120"/>
      <c r="GA29" s="120"/>
      <c r="GB29" s="120"/>
      <c r="GC29" s="120"/>
      <c r="GD29" s="120"/>
      <c r="GE29" s="120"/>
      <c r="GF29" s="120"/>
      <c r="GG29" s="120"/>
      <c r="GH29" s="120"/>
      <c r="GI29" s="120"/>
      <c r="GJ29" s="120"/>
      <c r="GK29" s="120"/>
      <c r="GL29" s="120"/>
      <c r="GM29" s="120"/>
      <c r="GN29" s="120"/>
      <c r="GO29" s="120"/>
      <c r="GP29" s="120"/>
      <c r="GQ29" s="120"/>
      <c r="GR29" s="120"/>
      <c r="GS29" s="120"/>
      <c r="GT29" s="120"/>
      <c r="GU29" s="120"/>
      <c r="GV29" s="120"/>
      <c r="GW29" s="120"/>
      <c r="GX29" s="120"/>
      <c r="GY29" s="120"/>
      <c r="GZ29" s="120"/>
      <c r="HA29" s="120"/>
      <c r="HB29" s="120"/>
      <c r="HC29" s="120"/>
      <c r="HD29" s="120"/>
      <c r="HE29" s="120"/>
      <c r="HF29" s="120"/>
      <c r="HG29" s="120"/>
      <c r="HH29" s="120"/>
      <c r="HI29" s="120"/>
      <c r="HJ29" s="120"/>
      <c r="HK29" s="120"/>
      <c r="HL29" s="120"/>
      <c r="HM29" s="120"/>
      <c r="HN29" s="120"/>
      <c r="HO29" s="120"/>
      <c r="HP29" s="120"/>
      <c r="HQ29" s="120"/>
      <c r="HR29" s="120"/>
      <c r="HS29" s="120"/>
      <c r="HT29" s="120"/>
      <c r="HU29" s="120"/>
      <c r="HV29" s="120"/>
      <c r="HW29" s="120"/>
      <c r="HX29" s="120"/>
      <c r="HY29" s="120"/>
      <c r="HZ29" s="120"/>
      <c r="IA29" s="120"/>
      <c r="IB29" s="120"/>
      <c r="IC29" s="120"/>
      <c r="ID29" s="120"/>
      <c r="IE29" s="120"/>
      <c r="IF29" s="120"/>
      <c r="IG29" s="120"/>
      <c r="IH29" s="120"/>
      <c r="II29" s="120"/>
      <c r="IJ29" s="120"/>
      <c r="IK29" s="120"/>
      <c r="IL29" s="120"/>
      <c r="IM29" s="120"/>
      <c r="IN29" s="120"/>
      <c r="IO29" s="120"/>
      <c r="IP29" s="120"/>
      <c r="IQ29" s="120"/>
      <c r="IR29" s="120"/>
      <c r="IS29" s="120"/>
      <c r="IT29" s="120"/>
      <c r="IU29" s="120"/>
      <c r="IV29" s="120"/>
    </row>
    <row r="30" spans="1:256" s="132" customFormat="1" ht="15">
      <c r="A30" s="120"/>
      <c r="C30" s="306"/>
      <c r="D30" s="310"/>
      <c r="E30" s="306"/>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0"/>
      <c r="CN30" s="120"/>
      <c r="CO30" s="120"/>
      <c r="CP30" s="120"/>
      <c r="CQ30" s="120"/>
      <c r="CR30" s="120"/>
      <c r="CS30" s="120"/>
      <c r="CT30" s="120"/>
      <c r="CU30" s="120"/>
      <c r="CV30" s="120"/>
      <c r="CW30" s="120"/>
      <c r="CX30" s="120"/>
      <c r="CY30" s="120"/>
      <c r="CZ30" s="120"/>
      <c r="DA30" s="120"/>
      <c r="DB30" s="120"/>
      <c r="DC30" s="120"/>
      <c r="DD30" s="120"/>
      <c r="DE30" s="120"/>
      <c r="DF30" s="120"/>
      <c r="DG30" s="120"/>
      <c r="DH30" s="120"/>
      <c r="DI30" s="120"/>
      <c r="DJ30" s="120"/>
      <c r="DK30" s="120"/>
      <c r="DL30" s="120"/>
      <c r="DM30" s="120"/>
      <c r="DN30" s="120"/>
      <c r="DO30" s="120"/>
      <c r="DP30" s="120"/>
      <c r="DQ30" s="120"/>
      <c r="DR30" s="120"/>
      <c r="DS30" s="120"/>
      <c r="DT30" s="120"/>
      <c r="DU30" s="120"/>
      <c r="DV30" s="120"/>
      <c r="DW30" s="120"/>
      <c r="DX30" s="120"/>
      <c r="DY30" s="120"/>
      <c r="DZ30" s="120"/>
      <c r="EA30" s="120"/>
      <c r="EB30" s="120"/>
      <c r="EC30" s="120"/>
      <c r="ED30" s="120"/>
      <c r="EE30" s="120"/>
      <c r="EF30" s="120"/>
      <c r="EG30" s="120"/>
      <c r="EH30" s="120"/>
      <c r="EI30" s="120"/>
      <c r="EJ30" s="120"/>
      <c r="EK30" s="120"/>
      <c r="EL30" s="120"/>
      <c r="EM30" s="120"/>
      <c r="EN30" s="120"/>
      <c r="EO30" s="120"/>
      <c r="EP30" s="120"/>
      <c r="EQ30" s="120"/>
      <c r="ER30" s="120"/>
      <c r="ES30" s="120"/>
      <c r="ET30" s="120"/>
      <c r="EU30" s="120"/>
      <c r="EV30" s="120"/>
      <c r="EW30" s="120"/>
      <c r="EX30" s="120"/>
      <c r="EY30" s="120"/>
      <c r="EZ30" s="120"/>
      <c r="FA30" s="120"/>
      <c r="FB30" s="120"/>
      <c r="FC30" s="120"/>
      <c r="FD30" s="120"/>
      <c r="FE30" s="120"/>
      <c r="FF30" s="120"/>
      <c r="FG30" s="120"/>
      <c r="FH30" s="120"/>
      <c r="FI30" s="120"/>
      <c r="FJ30" s="120"/>
      <c r="FK30" s="120"/>
      <c r="FL30" s="120"/>
      <c r="FM30" s="120"/>
      <c r="FN30" s="120"/>
      <c r="FO30" s="120"/>
      <c r="FP30" s="120"/>
      <c r="FQ30" s="120"/>
      <c r="FR30" s="120"/>
      <c r="FS30" s="120"/>
      <c r="FT30" s="120"/>
      <c r="FU30" s="120"/>
      <c r="FV30" s="120"/>
      <c r="FW30" s="120"/>
      <c r="FX30" s="120"/>
      <c r="FY30" s="120"/>
      <c r="FZ30" s="120"/>
      <c r="GA30" s="120"/>
      <c r="GB30" s="120"/>
      <c r="GC30" s="120"/>
      <c r="GD30" s="120"/>
      <c r="GE30" s="120"/>
      <c r="GF30" s="120"/>
      <c r="GG30" s="120"/>
      <c r="GH30" s="120"/>
      <c r="GI30" s="120"/>
      <c r="GJ30" s="120"/>
      <c r="GK30" s="120"/>
      <c r="GL30" s="120"/>
      <c r="GM30" s="120"/>
      <c r="GN30" s="120"/>
      <c r="GO30" s="120"/>
      <c r="GP30" s="120"/>
      <c r="GQ30" s="120"/>
      <c r="GR30" s="120"/>
      <c r="GS30" s="120"/>
      <c r="GT30" s="120"/>
      <c r="GU30" s="120"/>
      <c r="GV30" s="120"/>
      <c r="GW30" s="120"/>
      <c r="GX30" s="120"/>
      <c r="GY30" s="120"/>
      <c r="GZ30" s="120"/>
      <c r="HA30" s="120"/>
      <c r="HB30" s="120"/>
      <c r="HC30" s="120"/>
      <c r="HD30" s="120"/>
      <c r="HE30" s="120"/>
      <c r="HF30" s="120"/>
      <c r="HG30" s="120"/>
      <c r="HH30" s="120"/>
      <c r="HI30" s="120"/>
      <c r="HJ30" s="120"/>
      <c r="HK30" s="120"/>
      <c r="HL30" s="120"/>
      <c r="HM30" s="120"/>
      <c r="HN30" s="120"/>
      <c r="HO30" s="120"/>
      <c r="HP30" s="120"/>
      <c r="HQ30" s="120"/>
      <c r="HR30" s="120"/>
      <c r="HS30" s="120"/>
      <c r="HT30" s="120"/>
      <c r="HU30" s="120"/>
      <c r="HV30" s="120"/>
      <c r="HW30" s="120"/>
      <c r="HX30" s="120"/>
      <c r="HY30" s="120"/>
      <c r="HZ30" s="120"/>
      <c r="IA30" s="120"/>
      <c r="IB30" s="120"/>
      <c r="IC30" s="120"/>
      <c r="ID30" s="120"/>
      <c r="IE30" s="120"/>
      <c r="IF30" s="120"/>
      <c r="IG30" s="120"/>
      <c r="IH30" s="120"/>
      <c r="II30" s="120"/>
      <c r="IJ30" s="120"/>
      <c r="IK30" s="120"/>
      <c r="IL30" s="120"/>
      <c r="IM30" s="120"/>
      <c r="IN30" s="120"/>
      <c r="IO30" s="120"/>
      <c r="IP30" s="120"/>
      <c r="IQ30" s="120"/>
      <c r="IR30" s="120"/>
      <c r="IS30" s="120"/>
      <c r="IT30" s="120"/>
      <c r="IU30" s="120"/>
      <c r="IV30" s="120"/>
    </row>
    <row r="31" spans="1:256" s="132" customFormat="1" ht="15">
      <c r="A31" s="120"/>
      <c r="C31" s="306"/>
      <c r="D31" s="310"/>
      <c r="E31" s="306"/>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0"/>
      <c r="CN31" s="120"/>
      <c r="CO31" s="120"/>
      <c r="CP31" s="120"/>
      <c r="CQ31" s="120"/>
      <c r="CR31" s="120"/>
      <c r="CS31" s="120"/>
      <c r="CT31" s="120"/>
      <c r="CU31" s="120"/>
      <c r="CV31" s="120"/>
      <c r="CW31" s="120"/>
      <c r="CX31" s="120"/>
      <c r="CY31" s="120"/>
      <c r="CZ31" s="120"/>
      <c r="DA31" s="120"/>
      <c r="DB31" s="120"/>
      <c r="DC31" s="120"/>
      <c r="DD31" s="120"/>
      <c r="DE31" s="120"/>
      <c r="DF31" s="120"/>
      <c r="DG31" s="120"/>
      <c r="DH31" s="120"/>
      <c r="DI31" s="120"/>
      <c r="DJ31" s="120"/>
      <c r="DK31" s="120"/>
      <c r="DL31" s="120"/>
      <c r="DM31" s="120"/>
      <c r="DN31" s="120"/>
      <c r="DO31" s="120"/>
      <c r="DP31" s="120"/>
      <c r="DQ31" s="120"/>
      <c r="DR31" s="120"/>
      <c r="DS31" s="120"/>
      <c r="DT31" s="120"/>
      <c r="DU31" s="120"/>
      <c r="DV31" s="120"/>
      <c r="DW31" s="120"/>
      <c r="DX31" s="120"/>
      <c r="DY31" s="120"/>
      <c r="DZ31" s="120"/>
      <c r="EA31" s="120"/>
      <c r="EB31" s="120"/>
      <c r="EC31" s="120"/>
      <c r="ED31" s="120"/>
      <c r="EE31" s="120"/>
      <c r="EF31" s="120"/>
      <c r="EG31" s="120"/>
      <c r="EH31" s="120"/>
      <c r="EI31" s="120"/>
      <c r="EJ31" s="120"/>
      <c r="EK31" s="120"/>
      <c r="EL31" s="120"/>
      <c r="EM31" s="120"/>
      <c r="EN31" s="120"/>
      <c r="EO31" s="120"/>
      <c r="EP31" s="120"/>
      <c r="EQ31" s="120"/>
      <c r="ER31" s="120"/>
      <c r="ES31" s="120"/>
      <c r="ET31" s="120"/>
      <c r="EU31" s="120"/>
      <c r="EV31" s="120"/>
      <c r="EW31" s="120"/>
      <c r="EX31" s="120"/>
      <c r="EY31" s="120"/>
      <c r="EZ31" s="120"/>
      <c r="FA31" s="120"/>
      <c r="FB31" s="120"/>
      <c r="FC31" s="120"/>
      <c r="FD31" s="120"/>
      <c r="FE31" s="120"/>
      <c r="FF31" s="120"/>
      <c r="FG31" s="120"/>
      <c r="FH31" s="120"/>
      <c r="FI31" s="120"/>
      <c r="FJ31" s="120"/>
      <c r="FK31" s="120"/>
      <c r="FL31" s="120"/>
      <c r="FM31" s="120"/>
      <c r="FN31" s="120"/>
      <c r="FO31" s="120"/>
      <c r="FP31" s="120"/>
      <c r="FQ31" s="120"/>
      <c r="FR31" s="120"/>
      <c r="FS31" s="120"/>
      <c r="FT31" s="120"/>
      <c r="FU31" s="120"/>
      <c r="FV31" s="120"/>
      <c r="FW31" s="120"/>
      <c r="FX31" s="120"/>
      <c r="FY31" s="120"/>
      <c r="FZ31" s="120"/>
      <c r="GA31" s="120"/>
      <c r="GB31" s="120"/>
      <c r="GC31" s="120"/>
      <c r="GD31" s="120"/>
      <c r="GE31" s="120"/>
      <c r="GF31" s="120"/>
      <c r="GG31" s="120"/>
      <c r="GH31" s="120"/>
      <c r="GI31" s="120"/>
      <c r="GJ31" s="120"/>
      <c r="GK31" s="120"/>
      <c r="GL31" s="120"/>
      <c r="GM31" s="120"/>
      <c r="GN31" s="120"/>
      <c r="GO31" s="120"/>
      <c r="GP31" s="120"/>
      <c r="GQ31" s="120"/>
      <c r="GR31" s="120"/>
      <c r="GS31" s="120"/>
      <c r="GT31" s="120"/>
      <c r="GU31" s="120"/>
      <c r="GV31" s="120"/>
      <c r="GW31" s="120"/>
      <c r="GX31" s="120"/>
      <c r="GY31" s="120"/>
      <c r="GZ31" s="120"/>
      <c r="HA31" s="120"/>
      <c r="HB31" s="120"/>
      <c r="HC31" s="120"/>
      <c r="HD31" s="120"/>
      <c r="HE31" s="120"/>
      <c r="HF31" s="120"/>
      <c r="HG31" s="120"/>
      <c r="HH31" s="120"/>
      <c r="HI31" s="120"/>
      <c r="HJ31" s="120"/>
      <c r="HK31" s="120"/>
      <c r="HL31" s="120"/>
      <c r="HM31" s="120"/>
      <c r="HN31" s="120"/>
      <c r="HO31" s="120"/>
      <c r="HP31" s="120"/>
      <c r="HQ31" s="120"/>
      <c r="HR31" s="120"/>
      <c r="HS31" s="120"/>
      <c r="HT31" s="120"/>
      <c r="HU31" s="120"/>
      <c r="HV31" s="120"/>
      <c r="HW31" s="120"/>
      <c r="HX31" s="120"/>
      <c r="HY31" s="120"/>
      <c r="HZ31" s="120"/>
      <c r="IA31" s="120"/>
      <c r="IB31" s="120"/>
      <c r="IC31" s="120"/>
      <c r="ID31" s="120"/>
      <c r="IE31" s="120"/>
      <c r="IF31" s="120"/>
      <c r="IG31" s="120"/>
      <c r="IH31" s="120"/>
      <c r="II31" s="120"/>
      <c r="IJ31" s="120"/>
      <c r="IK31" s="120"/>
      <c r="IL31" s="120"/>
      <c r="IM31" s="120"/>
      <c r="IN31" s="120"/>
      <c r="IO31" s="120"/>
      <c r="IP31" s="120"/>
      <c r="IQ31" s="120"/>
      <c r="IR31" s="120"/>
      <c r="IS31" s="120"/>
      <c r="IT31" s="120"/>
      <c r="IU31" s="120"/>
      <c r="IV31" s="120"/>
    </row>
    <row r="32" spans="1:256" s="132" customFormat="1" ht="15">
      <c r="A32" s="105" t="s">
        <v>562</v>
      </c>
      <c r="C32" s="306"/>
      <c r="D32" s="310"/>
      <c r="E32" s="306"/>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0"/>
      <c r="CM32" s="120"/>
      <c r="CN32" s="120"/>
      <c r="CO32" s="120"/>
      <c r="CP32" s="120"/>
      <c r="CQ32" s="120"/>
      <c r="CR32" s="120"/>
      <c r="CS32" s="120"/>
      <c r="CT32" s="120"/>
      <c r="CU32" s="120"/>
      <c r="CV32" s="120"/>
      <c r="CW32" s="120"/>
      <c r="CX32" s="120"/>
      <c r="CY32" s="120"/>
      <c r="CZ32" s="120"/>
      <c r="DA32" s="120"/>
      <c r="DB32" s="120"/>
      <c r="DC32" s="120"/>
      <c r="DD32" s="120"/>
      <c r="DE32" s="120"/>
      <c r="DF32" s="120"/>
      <c r="DG32" s="120"/>
      <c r="DH32" s="120"/>
      <c r="DI32" s="120"/>
      <c r="DJ32" s="120"/>
      <c r="DK32" s="120"/>
      <c r="DL32" s="120"/>
      <c r="DM32" s="120"/>
      <c r="DN32" s="120"/>
      <c r="DO32" s="120"/>
      <c r="DP32" s="120"/>
      <c r="DQ32" s="120"/>
      <c r="DR32" s="120"/>
      <c r="DS32" s="120"/>
      <c r="DT32" s="120"/>
      <c r="DU32" s="120"/>
      <c r="DV32" s="120"/>
      <c r="DW32" s="120"/>
      <c r="DX32" s="120"/>
      <c r="DY32" s="120"/>
      <c r="DZ32" s="120"/>
      <c r="EA32" s="120"/>
      <c r="EB32" s="120"/>
      <c r="EC32" s="120"/>
      <c r="ED32" s="120"/>
      <c r="EE32" s="120"/>
      <c r="EF32" s="120"/>
      <c r="EG32" s="120"/>
      <c r="EH32" s="120"/>
      <c r="EI32" s="120"/>
      <c r="EJ32" s="120"/>
      <c r="EK32" s="120"/>
      <c r="EL32" s="120"/>
      <c r="EM32" s="120"/>
      <c r="EN32" s="120"/>
      <c r="EO32" s="120"/>
      <c r="EP32" s="120"/>
      <c r="EQ32" s="120"/>
      <c r="ER32" s="120"/>
      <c r="ES32" s="120"/>
      <c r="ET32" s="120"/>
      <c r="EU32" s="120"/>
      <c r="EV32" s="120"/>
      <c r="EW32" s="120"/>
      <c r="EX32" s="120"/>
      <c r="EY32" s="120"/>
      <c r="EZ32" s="120"/>
      <c r="FA32" s="120"/>
      <c r="FB32" s="120"/>
      <c r="FC32" s="120"/>
      <c r="FD32" s="120"/>
      <c r="FE32" s="120"/>
      <c r="FF32" s="120"/>
      <c r="FG32" s="120"/>
      <c r="FH32" s="120"/>
      <c r="FI32" s="120"/>
      <c r="FJ32" s="120"/>
      <c r="FK32" s="120"/>
      <c r="FL32" s="120"/>
      <c r="FM32" s="120"/>
      <c r="FN32" s="120"/>
      <c r="FO32" s="120"/>
      <c r="FP32" s="120"/>
      <c r="FQ32" s="120"/>
      <c r="FR32" s="120"/>
      <c r="FS32" s="120"/>
      <c r="FT32" s="120"/>
      <c r="FU32" s="120"/>
      <c r="FV32" s="120"/>
      <c r="FW32" s="120"/>
      <c r="FX32" s="120"/>
      <c r="FY32" s="120"/>
      <c r="FZ32" s="120"/>
      <c r="GA32" s="120"/>
      <c r="GB32" s="120"/>
      <c r="GC32" s="120"/>
      <c r="GD32" s="120"/>
      <c r="GE32" s="120"/>
      <c r="GF32" s="120"/>
      <c r="GG32" s="120"/>
      <c r="GH32" s="120"/>
      <c r="GI32" s="120"/>
      <c r="GJ32" s="120"/>
      <c r="GK32" s="120"/>
      <c r="GL32" s="120"/>
      <c r="GM32" s="120"/>
      <c r="GN32" s="120"/>
      <c r="GO32" s="120"/>
      <c r="GP32" s="120"/>
      <c r="GQ32" s="120"/>
      <c r="GR32" s="120"/>
      <c r="GS32" s="120"/>
      <c r="GT32" s="120"/>
      <c r="GU32" s="120"/>
      <c r="GV32" s="120"/>
      <c r="GW32" s="120"/>
      <c r="GX32" s="120"/>
      <c r="GY32" s="120"/>
      <c r="GZ32" s="120"/>
      <c r="HA32" s="120"/>
      <c r="HB32" s="120"/>
      <c r="HC32" s="120"/>
      <c r="HD32" s="120"/>
      <c r="HE32" s="120"/>
      <c r="HF32" s="120"/>
      <c r="HG32" s="120"/>
      <c r="HH32" s="120"/>
      <c r="HI32" s="120"/>
      <c r="HJ32" s="120"/>
      <c r="HK32" s="120"/>
      <c r="HL32" s="120"/>
      <c r="HM32" s="120"/>
      <c r="HN32" s="120"/>
      <c r="HO32" s="120"/>
      <c r="HP32" s="120"/>
      <c r="HQ32" s="120"/>
      <c r="HR32" s="120"/>
      <c r="HS32" s="120"/>
      <c r="HT32" s="120"/>
      <c r="HU32" s="120"/>
      <c r="HV32" s="120"/>
      <c r="HW32" s="120"/>
      <c r="HX32" s="120"/>
      <c r="HY32" s="120"/>
      <c r="HZ32" s="120"/>
      <c r="IA32" s="120"/>
      <c r="IB32" s="120"/>
      <c r="IC32" s="120"/>
      <c r="ID32" s="120"/>
      <c r="IE32" s="120"/>
      <c r="IF32" s="120"/>
      <c r="IG32" s="120"/>
      <c r="IH32" s="120"/>
      <c r="II32" s="120"/>
      <c r="IJ32" s="120"/>
      <c r="IK32" s="120"/>
      <c r="IL32" s="120"/>
      <c r="IM32" s="120"/>
      <c r="IN32" s="120"/>
      <c r="IO32" s="120"/>
      <c r="IP32" s="120"/>
      <c r="IQ32" s="120"/>
      <c r="IR32" s="120"/>
      <c r="IS32" s="120"/>
      <c r="IT32" s="120"/>
      <c r="IU32" s="120"/>
      <c r="IV32" s="120"/>
    </row>
    <row r="33" spans="1:256" s="132" customFormat="1" ht="15">
      <c r="A33" s="120" t="s">
        <v>563</v>
      </c>
      <c r="C33" s="306"/>
      <c r="D33" s="310">
        <v>305878</v>
      </c>
      <c r="E33" s="306"/>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0"/>
      <c r="CN33" s="120"/>
      <c r="CO33" s="120"/>
      <c r="CP33" s="120"/>
      <c r="CQ33" s="120"/>
      <c r="CR33" s="120"/>
      <c r="CS33" s="120"/>
      <c r="CT33" s="120"/>
      <c r="CU33" s="120"/>
      <c r="CV33" s="120"/>
      <c r="CW33" s="120"/>
      <c r="CX33" s="120"/>
      <c r="CY33" s="120"/>
      <c r="CZ33" s="120"/>
      <c r="DA33" s="120"/>
      <c r="DB33" s="120"/>
      <c r="DC33" s="120"/>
      <c r="DD33" s="120"/>
      <c r="DE33" s="120"/>
      <c r="DF33" s="120"/>
      <c r="DG33" s="120"/>
      <c r="DH33" s="120"/>
      <c r="DI33" s="120"/>
      <c r="DJ33" s="120"/>
      <c r="DK33" s="120"/>
      <c r="DL33" s="120"/>
      <c r="DM33" s="120"/>
      <c r="DN33" s="120"/>
      <c r="DO33" s="120"/>
      <c r="DP33" s="120"/>
      <c r="DQ33" s="120"/>
      <c r="DR33" s="120"/>
      <c r="DS33" s="120"/>
      <c r="DT33" s="120"/>
      <c r="DU33" s="120"/>
      <c r="DV33" s="120"/>
      <c r="DW33" s="120"/>
      <c r="DX33" s="120"/>
      <c r="DY33" s="120"/>
      <c r="DZ33" s="120"/>
      <c r="EA33" s="120"/>
      <c r="EB33" s="120"/>
      <c r="EC33" s="120"/>
      <c r="ED33" s="120"/>
      <c r="EE33" s="120"/>
      <c r="EF33" s="120"/>
      <c r="EG33" s="120"/>
      <c r="EH33" s="120"/>
      <c r="EI33" s="120"/>
      <c r="EJ33" s="120"/>
      <c r="EK33" s="120"/>
      <c r="EL33" s="120"/>
      <c r="EM33" s="120"/>
      <c r="EN33" s="120"/>
      <c r="EO33" s="120"/>
      <c r="EP33" s="120"/>
      <c r="EQ33" s="120"/>
      <c r="ER33" s="120"/>
      <c r="ES33" s="120"/>
      <c r="ET33" s="120"/>
      <c r="EU33" s="120"/>
      <c r="EV33" s="120"/>
      <c r="EW33" s="120"/>
      <c r="EX33" s="120"/>
      <c r="EY33" s="120"/>
      <c r="EZ33" s="120"/>
      <c r="FA33" s="120"/>
      <c r="FB33" s="120"/>
      <c r="FC33" s="120"/>
      <c r="FD33" s="120"/>
      <c r="FE33" s="120"/>
      <c r="FF33" s="120"/>
      <c r="FG33" s="120"/>
      <c r="FH33" s="120"/>
      <c r="FI33" s="120"/>
      <c r="FJ33" s="120"/>
      <c r="FK33" s="120"/>
      <c r="FL33" s="120"/>
      <c r="FM33" s="120"/>
      <c r="FN33" s="120"/>
      <c r="FO33" s="120"/>
      <c r="FP33" s="120"/>
      <c r="FQ33" s="120"/>
      <c r="FR33" s="120"/>
      <c r="FS33" s="120"/>
      <c r="FT33" s="120"/>
      <c r="FU33" s="120"/>
      <c r="FV33" s="120"/>
      <c r="FW33" s="120"/>
      <c r="FX33" s="120"/>
      <c r="FY33" s="120"/>
      <c r="FZ33" s="120"/>
      <c r="GA33" s="120"/>
      <c r="GB33" s="120"/>
      <c r="GC33" s="120"/>
      <c r="GD33" s="120"/>
      <c r="GE33" s="120"/>
      <c r="GF33" s="120"/>
      <c r="GG33" s="120"/>
      <c r="GH33" s="120"/>
      <c r="GI33" s="120"/>
      <c r="GJ33" s="120"/>
      <c r="GK33" s="120"/>
      <c r="GL33" s="120"/>
      <c r="GM33" s="120"/>
      <c r="GN33" s="120"/>
      <c r="GO33" s="120"/>
      <c r="GP33" s="120"/>
      <c r="GQ33" s="120"/>
      <c r="GR33" s="120"/>
      <c r="GS33" s="120"/>
      <c r="GT33" s="120"/>
      <c r="GU33" s="120"/>
      <c r="GV33" s="120"/>
      <c r="GW33" s="120"/>
      <c r="GX33" s="120"/>
      <c r="GY33" s="120"/>
      <c r="GZ33" s="120"/>
      <c r="HA33" s="120"/>
      <c r="HB33" s="120"/>
      <c r="HC33" s="120"/>
      <c r="HD33" s="120"/>
      <c r="HE33" s="120"/>
      <c r="HF33" s="120"/>
      <c r="HG33" s="120"/>
      <c r="HH33" s="120"/>
      <c r="HI33" s="120"/>
      <c r="HJ33" s="120"/>
      <c r="HK33" s="120"/>
      <c r="HL33" s="120"/>
      <c r="HM33" s="120"/>
      <c r="HN33" s="120"/>
      <c r="HO33" s="120"/>
      <c r="HP33" s="120"/>
      <c r="HQ33" s="120"/>
      <c r="HR33" s="120"/>
      <c r="HS33" s="120"/>
      <c r="HT33" s="120"/>
      <c r="HU33" s="120"/>
      <c r="HV33" s="120"/>
      <c r="HW33" s="120"/>
      <c r="HX33" s="120"/>
      <c r="HY33" s="120"/>
      <c r="HZ33" s="120"/>
      <c r="IA33" s="120"/>
      <c r="IB33" s="120"/>
      <c r="IC33" s="120"/>
      <c r="ID33" s="120"/>
      <c r="IE33" s="120"/>
      <c r="IF33" s="120"/>
      <c r="IG33" s="120"/>
      <c r="IH33" s="120"/>
      <c r="II33" s="120"/>
      <c r="IJ33" s="120"/>
      <c r="IK33" s="120"/>
      <c r="IL33" s="120"/>
      <c r="IM33" s="120"/>
      <c r="IN33" s="120"/>
      <c r="IO33" s="120"/>
      <c r="IP33" s="120"/>
      <c r="IQ33" s="120"/>
      <c r="IR33" s="120"/>
      <c r="IS33" s="120"/>
      <c r="IT33" s="120"/>
      <c r="IU33" s="120"/>
      <c r="IV33" s="120"/>
    </row>
    <row r="34" spans="1:256" ht="15">
      <c r="A34" s="142" t="s">
        <v>541</v>
      </c>
      <c r="C34" s="141"/>
      <c r="D34" s="98">
        <f>E26</f>
        <v>4695413.7915</v>
      </c>
      <c r="E34" s="123"/>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99"/>
      <c r="FP34" s="99"/>
      <c r="FQ34" s="99"/>
      <c r="FR34" s="99"/>
      <c r="FS34" s="99"/>
      <c r="FT34" s="99"/>
      <c r="FU34" s="99"/>
      <c r="FV34" s="99"/>
      <c r="FW34" s="99"/>
      <c r="FX34" s="99"/>
      <c r="FY34" s="99"/>
      <c r="FZ34" s="99"/>
      <c r="GA34" s="99"/>
      <c r="GB34" s="99"/>
      <c r="GC34" s="99"/>
      <c r="GD34" s="99"/>
      <c r="GE34" s="99"/>
      <c r="GF34" s="99"/>
      <c r="GG34" s="99"/>
      <c r="GH34" s="99"/>
      <c r="GI34" s="99"/>
      <c r="GJ34" s="99"/>
      <c r="GK34" s="99"/>
      <c r="GL34" s="99"/>
      <c r="GM34" s="99"/>
      <c r="GN34" s="99"/>
      <c r="GO34" s="99"/>
      <c r="GP34" s="99"/>
      <c r="GQ34" s="99"/>
      <c r="GR34" s="99"/>
      <c r="GS34" s="99"/>
      <c r="GT34" s="99"/>
      <c r="GU34" s="99"/>
      <c r="GV34" s="99"/>
      <c r="GW34" s="99"/>
      <c r="GX34" s="99"/>
      <c r="GY34" s="99"/>
      <c r="GZ34" s="99"/>
      <c r="HA34" s="99"/>
      <c r="HB34" s="99"/>
      <c r="HC34" s="99"/>
      <c r="HD34" s="99"/>
      <c r="HE34" s="99"/>
      <c r="HF34" s="99"/>
      <c r="HG34" s="99"/>
      <c r="HH34" s="99"/>
      <c r="HI34" s="99"/>
      <c r="HJ34" s="99"/>
      <c r="HK34" s="99"/>
      <c r="HL34" s="99"/>
      <c r="HM34" s="99"/>
      <c r="HN34" s="99"/>
      <c r="HO34" s="99"/>
      <c r="HP34" s="99"/>
      <c r="HQ34" s="99"/>
      <c r="HR34" s="99"/>
      <c r="HS34" s="99"/>
      <c r="HT34" s="99"/>
      <c r="HU34" s="99"/>
      <c r="HV34" s="99"/>
      <c r="HW34" s="99"/>
      <c r="HX34" s="99"/>
      <c r="HY34" s="99"/>
      <c r="HZ34" s="99"/>
      <c r="IA34" s="99"/>
      <c r="IB34" s="99"/>
      <c r="IC34" s="99"/>
      <c r="ID34" s="99"/>
      <c r="IE34" s="99"/>
      <c r="IF34" s="99"/>
      <c r="IG34" s="99"/>
      <c r="IH34" s="99"/>
      <c r="II34" s="99"/>
      <c r="IJ34" s="99"/>
      <c r="IK34" s="99"/>
      <c r="IL34" s="99"/>
      <c r="IM34" s="99"/>
      <c r="IN34" s="99"/>
      <c r="IO34" s="99"/>
      <c r="IP34" s="99"/>
      <c r="IQ34" s="99"/>
      <c r="IR34" s="99"/>
      <c r="IS34" s="99"/>
      <c r="IT34" s="99"/>
      <c r="IU34" s="99"/>
      <c r="IV34" s="99"/>
    </row>
    <row r="35" spans="1:256" ht="15">
      <c r="A35" s="142" t="s">
        <v>542</v>
      </c>
      <c r="C35" s="141"/>
      <c r="D35" s="98">
        <f>E27</f>
        <v>-1601101.125</v>
      </c>
      <c r="E35" s="123"/>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c r="DO35" s="99"/>
      <c r="DP35" s="99"/>
      <c r="DQ35" s="99"/>
      <c r="DR35" s="99"/>
      <c r="DS35" s="99"/>
      <c r="DT35" s="99"/>
      <c r="DU35" s="99"/>
      <c r="DV35" s="99"/>
      <c r="DW35" s="99"/>
      <c r="DX35" s="99"/>
      <c r="DY35" s="99"/>
      <c r="DZ35" s="99"/>
      <c r="EA35" s="99"/>
      <c r="EB35" s="99"/>
      <c r="EC35" s="99"/>
      <c r="ED35" s="99"/>
      <c r="EE35" s="99"/>
      <c r="EF35" s="99"/>
      <c r="EG35" s="99"/>
      <c r="EH35" s="99"/>
      <c r="EI35" s="99"/>
      <c r="EJ35" s="99"/>
      <c r="EK35" s="99"/>
      <c r="EL35" s="99"/>
      <c r="EM35" s="99"/>
      <c r="EN35" s="99"/>
      <c r="EO35" s="99"/>
      <c r="EP35" s="99"/>
      <c r="EQ35" s="99"/>
      <c r="ER35" s="99"/>
      <c r="ES35" s="99"/>
      <c r="ET35" s="99"/>
      <c r="EU35" s="99"/>
      <c r="EV35" s="99"/>
      <c r="EW35" s="99"/>
      <c r="EX35" s="99"/>
      <c r="EY35" s="99"/>
      <c r="EZ35" s="99"/>
      <c r="FA35" s="99"/>
      <c r="FB35" s="99"/>
      <c r="FC35" s="99"/>
      <c r="FD35" s="99"/>
      <c r="FE35" s="99"/>
      <c r="FF35" s="99"/>
      <c r="FG35" s="99"/>
      <c r="FH35" s="99"/>
      <c r="FI35" s="99"/>
      <c r="FJ35" s="99"/>
      <c r="FK35" s="99"/>
      <c r="FL35" s="99"/>
      <c r="FM35" s="99"/>
      <c r="FN35" s="99"/>
      <c r="FO35" s="99"/>
      <c r="FP35" s="99"/>
      <c r="FQ35" s="99"/>
      <c r="FR35" s="99"/>
      <c r="FS35" s="99"/>
      <c r="FT35" s="99"/>
      <c r="FU35" s="99"/>
      <c r="FV35" s="99"/>
      <c r="FW35" s="99"/>
      <c r="FX35" s="99"/>
      <c r="FY35" s="99"/>
      <c r="FZ35" s="99"/>
      <c r="GA35" s="99"/>
      <c r="GB35" s="99"/>
      <c r="GC35" s="99"/>
      <c r="GD35" s="99"/>
      <c r="GE35" s="99"/>
      <c r="GF35" s="99"/>
      <c r="GG35" s="99"/>
      <c r="GH35" s="99"/>
      <c r="GI35" s="99"/>
      <c r="GJ35" s="99"/>
      <c r="GK35" s="99"/>
      <c r="GL35" s="99"/>
      <c r="GM35" s="99"/>
      <c r="GN35" s="99"/>
      <c r="GO35" s="99"/>
      <c r="GP35" s="99"/>
      <c r="GQ35" s="99"/>
      <c r="GR35" s="99"/>
      <c r="GS35" s="99"/>
      <c r="GT35" s="99"/>
      <c r="GU35" s="99"/>
      <c r="GV35" s="99"/>
      <c r="GW35" s="99"/>
      <c r="GX35" s="99"/>
      <c r="GY35" s="99"/>
      <c r="GZ35" s="99"/>
      <c r="HA35" s="99"/>
      <c r="HB35" s="99"/>
      <c r="HC35" s="99"/>
      <c r="HD35" s="99"/>
      <c r="HE35" s="99"/>
      <c r="HF35" s="99"/>
      <c r="HG35" s="99"/>
      <c r="HH35" s="99"/>
      <c r="HI35" s="99"/>
      <c r="HJ35" s="99"/>
      <c r="HK35" s="99"/>
      <c r="HL35" s="99"/>
      <c r="HM35" s="99"/>
      <c r="HN35" s="99"/>
      <c r="HO35" s="99"/>
      <c r="HP35" s="99"/>
      <c r="HQ35" s="99"/>
      <c r="HR35" s="99"/>
      <c r="HS35" s="99"/>
      <c r="HT35" s="99"/>
      <c r="HU35" s="99"/>
      <c r="HV35" s="99"/>
      <c r="HW35" s="99"/>
      <c r="HX35" s="99"/>
      <c r="HY35" s="99"/>
      <c r="HZ35" s="99"/>
      <c r="IA35" s="99"/>
      <c r="IB35" s="99"/>
      <c r="IC35" s="99"/>
      <c r="ID35" s="99"/>
      <c r="IE35" s="99"/>
      <c r="IF35" s="99"/>
      <c r="IG35" s="99"/>
      <c r="IH35" s="99"/>
      <c r="II35" s="99"/>
      <c r="IJ35" s="99"/>
      <c r="IK35" s="99"/>
      <c r="IL35" s="99"/>
      <c r="IM35" s="99"/>
      <c r="IN35" s="99"/>
      <c r="IO35" s="99"/>
      <c r="IP35" s="99"/>
      <c r="IQ35" s="99"/>
      <c r="IR35" s="99"/>
      <c r="IS35" s="99"/>
      <c r="IT35" s="99"/>
      <c r="IU35" s="99"/>
      <c r="IV35" s="99"/>
    </row>
    <row r="36" spans="1:256" ht="15">
      <c r="A36" s="35" t="s">
        <v>543</v>
      </c>
      <c r="C36" s="141"/>
      <c r="D36" s="98">
        <v>-2361640</v>
      </c>
      <c r="E36" s="123"/>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c r="DE36" s="99"/>
      <c r="DF36" s="99"/>
      <c r="DG36" s="99"/>
      <c r="DH36" s="99"/>
      <c r="DI36" s="99"/>
      <c r="DJ36" s="99"/>
      <c r="DK36" s="99"/>
      <c r="DL36" s="99"/>
      <c r="DM36" s="99"/>
      <c r="DN36" s="99"/>
      <c r="DO36" s="99"/>
      <c r="DP36" s="99"/>
      <c r="DQ36" s="99"/>
      <c r="DR36" s="99"/>
      <c r="DS36" s="99"/>
      <c r="DT36" s="99"/>
      <c r="DU36" s="99"/>
      <c r="DV36" s="99"/>
      <c r="DW36" s="99"/>
      <c r="DX36" s="99"/>
      <c r="DY36" s="99"/>
      <c r="DZ36" s="99"/>
      <c r="EA36" s="99"/>
      <c r="EB36" s="99"/>
      <c r="EC36" s="99"/>
      <c r="ED36" s="99"/>
      <c r="EE36" s="99"/>
      <c r="EF36" s="99"/>
      <c r="EG36" s="99"/>
      <c r="EH36" s="99"/>
      <c r="EI36" s="99"/>
      <c r="EJ36" s="99"/>
      <c r="EK36" s="99"/>
      <c r="EL36" s="99"/>
      <c r="EM36" s="99"/>
      <c r="EN36" s="99"/>
      <c r="EO36" s="99"/>
      <c r="EP36" s="99"/>
      <c r="EQ36" s="99"/>
      <c r="ER36" s="99"/>
      <c r="ES36" s="99"/>
      <c r="ET36" s="99"/>
      <c r="EU36" s="99"/>
      <c r="EV36" s="99"/>
      <c r="EW36" s="99"/>
      <c r="EX36" s="99"/>
      <c r="EY36" s="99"/>
      <c r="EZ36" s="99"/>
      <c r="FA36" s="99"/>
      <c r="FB36" s="99"/>
      <c r="FC36" s="99"/>
      <c r="FD36" s="99"/>
      <c r="FE36" s="99"/>
      <c r="FF36" s="99"/>
      <c r="FG36" s="99"/>
      <c r="FH36" s="99"/>
      <c r="FI36" s="99"/>
      <c r="FJ36" s="99"/>
      <c r="FK36" s="99"/>
      <c r="FL36" s="99"/>
      <c r="FM36" s="99"/>
      <c r="FN36" s="99"/>
      <c r="FO36" s="99"/>
      <c r="FP36" s="99"/>
      <c r="FQ36" s="99"/>
      <c r="FR36" s="99"/>
      <c r="FS36" s="99"/>
      <c r="FT36" s="99"/>
      <c r="FU36" s="99"/>
      <c r="FV36" s="99"/>
      <c r="FW36" s="99"/>
      <c r="FX36" s="99"/>
      <c r="FY36" s="99"/>
      <c r="FZ36" s="99"/>
      <c r="GA36" s="99"/>
      <c r="GB36" s="99"/>
      <c r="GC36" s="99"/>
      <c r="GD36" s="99"/>
      <c r="GE36" s="99"/>
      <c r="GF36" s="99"/>
      <c r="GG36" s="99"/>
      <c r="GH36" s="99"/>
      <c r="GI36" s="99"/>
      <c r="GJ36" s="99"/>
      <c r="GK36" s="99"/>
      <c r="GL36" s="99"/>
      <c r="GM36" s="99"/>
      <c r="GN36" s="99"/>
      <c r="GO36" s="99"/>
      <c r="GP36" s="99"/>
      <c r="GQ36" s="99"/>
      <c r="GR36" s="99"/>
      <c r="GS36" s="99"/>
      <c r="GT36" s="99"/>
      <c r="GU36" s="99"/>
      <c r="GV36" s="99"/>
      <c r="GW36" s="99"/>
      <c r="GX36" s="99"/>
      <c r="GY36" s="99"/>
      <c r="GZ36" s="99"/>
      <c r="HA36" s="99"/>
      <c r="HB36" s="99"/>
      <c r="HC36" s="99"/>
      <c r="HD36" s="99"/>
      <c r="HE36" s="99"/>
      <c r="HF36" s="99"/>
      <c r="HG36" s="99"/>
      <c r="HH36" s="99"/>
      <c r="HI36" s="99"/>
      <c r="HJ36" s="99"/>
      <c r="HK36" s="99"/>
      <c r="HL36" s="99"/>
      <c r="HM36" s="99"/>
      <c r="HN36" s="99"/>
      <c r="HO36" s="99"/>
      <c r="HP36" s="99"/>
      <c r="HQ36" s="99"/>
      <c r="HR36" s="99"/>
      <c r="HS36" s="99"/>
      <c r="HT36" s="99"/>
      <c r="HU36" s="99"/>
      <c r="HV36" s="99"/>
      <c r="HW36" s="99"/>
      <c r="HX36" s="99"/>
      <c r="HY36" s="99"/>
      <c r="HZ36" s="99"/>
      <c r="IA36" s="99"/>
      <c r="IB36" s="99"/>
      <c r="IC36" s="99"/>
      <c r="ID36" s="99"/>
      <c r="IE36" s="99"/>
      <c r="IF36" s="99"/>
      <c r="IG36" s="99"/>
      <c r="IH36" s="99"/>
      <c r="II36" s="99"/>
      <c r="IJ36" s="99"/>
      <c r="IK36" s="99"/>
      <c r="IL36" s="99"/>
      <c r="IM36" s="99"/>
      <c r="IN36" s="99"/>
      <c r="IO36" s="99"/>
      <c r="IP36" s="99"/>
      <c r="IQ36" s="99"/>
      <c r="IR36" s="99"/>
      <c r="IS36" s="99"/>
      <c r="IT36" s="99"/>
      <c r="IU36" s="99"/>
      <c r="IV36" s="99"/>
    </row>
    <row r="37" spans="1:256" ht="15.75" thickBot="1">
      <c r="A37" s="120" t="s">
        <v>564</v>
      </c>
      <c r="C37" s="141"/>
      <c r="D37" s="126">
        <f>SUM(D33:D36)</f>
        <v>1038550.6665000003</v>
      </c>
      <c r="E37" s="123"/>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9"/>
      <c r="DF37" s="99"/>
      <c r="DG37" s="99"/>
      <c r="DH37" s="99"/>
      <c r="DI37" s="99"/>
      <c r="DJ37" s="99"/>
      <c r="DK37" s="99"/>
      <c r="DL37" s="99"/>
      <c r="DM37" s="99"/>
      <c r="DN37" s="99"/>
      <c r="DO37" s="99"/>
      <c r="DP37" s="99"/>
      <c r="DQ37" s="99"/>
      <c r="DR37" s="99"/>
      <c r="DS37" s="99"/>
      <c r="DT37" s="99"/>
      <c r="DU37" s="99"/>
      <c r="DV37" s="99"/>
      <c r="DW37" s="99"/>
      <c r="DX37" s="99"/>
      <c r="DY37" s="99"/>
      <c r="DZ37" s="99"/>
      <c r="EA37" s="99"/>
      <c r="EB37" s="99"/>
      <c r="EC37" s="99"/>
      <c r="ED37" s="99"/>
      <c r="EE37" s="99"/>
      <c r="EF37" s="99"/>
      <c r="EG37" s="99"/>
      <c r="EH37" s="99"/>
      <c r="EI37" s="99"/>
      <c r="EJ37" s="99"/>
      <c r="EK37" s="99"/>
      <c r="EL37" s="99"/>
      <c r="EM37" s="99"/>
      <c r="EN37" s="99"/>
      <c r="EO37" s="99"/>
      <c r="EP37" s="99"/>
      <c r="EQ37" s="99"/>
      <c r="ER37" s="99"/>
      <c r="ES37" s="99"/>
      <c r="ET37" s="99"/>
      <c r="EU37" s="99"/>
      <c r="EV37" s="99"/>
      <c r="EW37" s="99"/>
      <c r="EX37" s="99"/>
      <c r="EY37" s="99"/>
      <c r="EZ37" s="99"/>
      <c r="FA37" s="99"/>
      <c r="FB37" s="99"/>
      <c r="FC37" s="99"/>
      <c r="FD37" s="99"/>
      <c r="FE37" s="99"/>
      <c r="FF37" s="99"/>
      <c r="FG37" s="99"/>
      <c r="FH37" s="99"/>
      <c r="FI37" s="99"/>
      <c r="FJ37" s="99"/>
      <c r="FK37" s="99"/>
      <c r="FL37" s="99"/>
      <c r="FM37" s="99"/>
      <c r="FN37" s="99"/>
      <c r="FO37" s="99"/>
      <c r="FP37" s="99"/>
      <c r="FQ37" s="99"/>
      <c r="FR37" s="99"/>
      <c r="FS37" s="99"/>
      <c r="FT37" s="99"/>
      <c r="FU37" s="99"/>
      <c r="FV37" s="99"/>
      <c r="FW37" s="99"/>
      <c r="FX37" s="99"/>
      <c r="FY37" s="99"/>
      <c r="FZ37" s="99"/>
      <c r="GA37" s="99"/>
      <c r="GB37" s="99"/>
      <c r="GC37" s="99"/>
      <c r="GD37" s="99"/>
      <c r="GE37" s="99"/>
      <c r="GF37" s="99"/>
      <c r="GG37" s="99"/>
      <c r="GH37" s="99"/>
      <c r="GI37" s="99"/>
      <c r="GJ37" s="99"/>
      <c r="GK37" s="99"/>
      <c r="GL37" s="99"/>
      <c r="GM37" s="99"/>
      <c r="GN37" s="99"/>
      <c r="GO37" s="99"/>
      <c r="GP37" s="99"/>
      <c r="GQ37" s="99"/>
      <c r="GR37" s="99"/>
      <c r="GS37" s="99"/>
      <c r="GT37" s="99"/>
      <c r="GU37" s="99"/>
      <c r="GV37" s="99"/>
      <c r="GW37" s="99"/>
      <c r="GX37" s="99"/>
      <c r="GY37" s="99"/>
      <c r="GZ37" s="99"/>
      <c r="HA37" s="99"/>
      <c r="HB37" s="99"/>
      <c r="HC37" s="99"/>
      <c r="HD37" s="99"/>
      <c r="HE37" s="99"/>
      <c r="HF37" s="99"/>
      <c r="HG37" s="99"/>
      <c r="HH37" s="99"/>
      <c r="HI37" s="99"/>
      <c r="HJ37" s="99"/>
      <c r="HK37" s="99"/>
      <c r="HL37" s="99"/>
      <c r="HM37" s="99"/>
      <c r="HN37" s="99"/>
      <c r="HO37" s="99"/>
      <c r="HP37" s="99"/>
      <c r="HQ37" s="99"/>
      <c r="HR37" s="99"/>
      <c r="HS37" s="99"/>
      <c r="HT37" s="99"/>
      <c r="HU37" s="99"/>
      <c r="HV37" s="99"/>
      <c r="HW37" s="99"/>
      <c r="HX37" s="99"/>
      <c r="HY37" s="99"/>
      <c r="HZ37" s="99"/>
      <c r="IA37" s="99"/>
      <c r="IB37" s="99"/>
      <c r="IC37" s="99"/>
      <c r="ID37" s="99"/>
      <c r="IE37" s="99"/>
      <c r="IF37" s="99"/>
      <c r="IG37" s="99"/>
      <c r="IH37" s="99"/>
      <c r="II37" s="99"/>
      <c r="IJ37" s="99"/>
      <c r="IK37" s="99"/>
      <c r="IL37" s="99"/>
      <c r="IM37" s="99"/>
      <c r="IN37" s="99"/>
      <c r="IO37" s="99"/>
      <c r="IP37" s="99"/>
      <c r="IQ37" s="99"/>
      <c r="IR37" s="99"/>
      <c r="IS37" s="99"/>
      <c r="IT37" s="99"/>
      <c r="IU37" s="99"/>
      <c r="IV37" s="99"/>
    </row>
    <row r="38" spans="1:256" ht="15.75" thickTop="1">
      <c r="A38" s="142" t="s">
        <v>567</v>
      </c>
      <c r="B38" s="99"/>
      <c r="C38" s="143"/>
      <c r="D38" s="99">
        <f>+E28</f>
        <v>1135732.26375</v>
      </c>
      <c r="E38" s="144"/>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c r="DM38" s="99"/>
      <c r="DN38" s="99"/>
      <c r="DO38" s="99"/>
      <c r="DP38" s="99"/>
      <c r="DQ38" s="99"/>
      <c r="DR38" s="99"/>
      <c r="DS38" s="99"/>
      <c r="DT38" s="99"/>
      <c r="DU38" s="99"/>
      <c r="DV38" s="99"/>
      <c r="DW38" s="99"/>
      <c r="DX38" s="99"/>
      <c r="DY38" s="99"/>
      <c r="DZ38" s="99"/>
      <c r="EA38" s="99"/>
      <c r="EB38" s="99"/>
      <c r="EC38" s="99"/>
      <c r="ED38" s="99"/>
      <c r="EE38" s="99"/>
      <c r="EF38" s="99"/>
      <c r="EG38" s="99"/>
      <c r="EH38" s="99"/>
      <c r="EI38" s="99"/>
      <c r="EJ38" s="99"/>
      <c r="EK38" s="99"/>
      <c r="EL38" s="99"/>
      <c r="EM38" s="99"/>
      <c r="EN38" s="99"/>
      <c r="EO38" s="99"/>
      <c r="EP38" s="99"/>
      <c r="EQ38" s="99"/>
      <c r="ER38" s="99"/>
      <c r="ES38" s="99"/>
      <c r="ET38" s="99"/>
      <c r="EU38" s="99"/>
      <c r="EV38" s="99"/>
      <c r="EW38" s="99"/>
      <c r="EX38" s="99"/>
      <c r="EY38" s="99"/>
      <c r="EZ38" s="99"/>
      <c r="FA38" s="99"/>
      <c r="FB38" s="99"/>
      <c r="FC38" s="99"/>
      <c r="FD38" s="99"/>
      <c r="FE38" s="99"/>
      <c r="FF38" s="99"/>
      <c r="FG38" s="99"/>
      <c r="FH38" s="99"/>
      <c r="FI38" s="99"/>
      <c r="FJ38" s="99"/>
      <c r="FK38" s="99"/>
      <c r="FL38" s="99"/>
      <c r="FM38" s="99"/>
      <c r="FN38" s="99"/>
      <c r="FO38" s="99"/>
      <c r="FP38" s="99"/>
      <c r="FQ38" s="99"/>
      <c r="FR38" s="99"/>
      <c r="FS38" s="99"/>
      <c r="FT38" s="99"/>
      <c r="FU38" s="99"/>
      <c r="FV38" s="99"/>
      <c r="FW38" s="99"/>
      <c r="FX38" s="99"/>
      <c r="FY38" s="99"/>
      <c r="FZ38" s="99"/>
      <c r="GA38" s="99"/>
      <c r="GB38" s="99"/>
      <c r="GC38" s="99"/>
      <c r="GD38" s="99"/>
      <c r="GE38" s="99"/>
      <c r="GF38" s="99"/>
      <c r="GG38" s="99"/>
      <c r="GH38" s="99"/>
      <c r="GI38" s="99"/>
      <c r="GJ38" s="99"/>
      <c r="GK38" s="99"/>
      <c r="GL38" s="99"/>
      <c r="GM38" s="99"/>
      <c r="GN38" s="99"/>
      <c r="GO38" s="99"/>
      <c r="GP38" s="99"/>
      <c r="GQ38" s="99"/>
      <c r="GR38" s="99"/>
      <c r="GS38" s="99"/>
      <c r="GT38" s="99"/>
      <c r="GU38" s="99"/>
      <c r="GV38" s="99"/>
      <c r="GW38" s="99"/>
      <c r="GX38" s="99"/>
      <c r="GY38" s="99"/>
      <c r="GZ38" s="99"/>
      <c r="HA38" s="99"/>
      <c r="HB38" s="99"/>
      <c r="HC38" s="99"/>
      <c r="HD38" s="99"/>
      <c r="HE38" s="99"/>
      <c r="HF38" s="99"/>
      <c r="HG38" s="99"/>
      <c r="HH38" s="99"/>
      <c r="HI38" s="99"/>
      <c r="HJ38" s="99"/>
      <c r="HK38" s="99"/>
      <c r="HL38" s="99"/>
      <c r="HM38" s="99"/>
      <c r="HN38" s="99"/>
      <c r="HO38" s="99"/>
      <c r="HP38" s="99"/>
      <c r="HQ38" s="99"/>
      <c r="HR38" s="99"/>
      <c r="HS38" s="99"/>
      <c r="HT38" s="99"/>
      <c r="HU38" s="99"/>
      <c r="HV38" s="99"/>
      <c r="HW38" s="99"/>
      <c r="HX38" s="99"/>
      <c r="HY38" s="99"/>
      <c r="HZ38" s="99"/>
      <c r="IA38" s="99"/>
      <c r="IB38" s="99"/>
      <c r="IC38" s="99"/>
      <c r="ID38" s="99"/>
      <c r="IE38" s="99"/>
      <c r="IF38" s="99"/>
      <c r="IG38" s="99"/>
      <c r="IH38" s="99"/>
      <c r="II38" s="99"/>
      <c r="IJ38" s="99"/>
      <c r="IK38" s="99"/>
      <c r="IL38" s="99"/>
      <c r="IM38" s="99"/>
      <c r="IN38" s="99"/>
      <c r="IO38" s="99"/>
      <c r="IP38" s="99"/>
      <c r="IQ38" s="99"/>
      <c r="IR38" s="99"/>
      <c r="IS38" s="99"/>
      <c r="IT38" s="99"/>
      <c r="IU38" s="99"/>
      <c r="IV38" s="99"/>
    </row>
    <row r="39" spans="1:256" ht="15">
      <c r="A39" s="142" t="s">
        <v>568</v>
      </c>
      <c r="B39" s="99"/>
      <c r="C39" s="143"/>
      <c r="D39" s="99">
        <f>+E29</f>
        <v>-374791.64703750005</v>
      </c>
      <c r="E39" s="144"/>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c r="DM39" s="99"/>
      <c r="DN39" s="99"/>
      <c r="DO39" s="99"/>
      <c r="DP39" s="99"/>
      <c r="DQ39" s="99"/>
      <c r="DR39" s="99"/>
      <c r="DS39" s="99"/>
      <c r="DT39" s="99"/>
      <c r="DU39" s="99"/>
      <c r="DV39" s="99"/>
      <c r="DW39" s="99"/>
      <c r="DX39" s="99"/>
      <c r="DY39" s="99"/>
      <c r="DZ39" s="99"/>
      <c r="EA39" s="99"/>
      <c r="EB39" s="99"/>
      <c r="EC39" s="99"/>
      <c r="ED39" s="99"/>
      <c r="EE39" s="99"/>
      <c r="EF39" s="99"/>
      <c r="EG39" s="99"/>
      <c r="EH39" s="99"/>
      <c r="EI39" s="99"/>
      <c r="EJ39" s="99"/>
      <c r="EK39" s="99"/>
      <c r="EL39" s="99"/>
      <c r="EM39" s="99"/>
      <c r="EN39" s="99"/>
      <c r="EO39" s="99"/>
      <c r="EP39" s="99"/>
      <c r="EQ39" s="99"/>
      <c r="ER39" s="99"/>
      <c r="ES39" s="99"/>
      <c r="ET39" s="99"/>
      <c r="EU39" s="99"/>
      <c r="EV39" s="99"/>
      <c r="EW39" s="99"/>
      <c r="EX39" s="99"/>
      <c r="EY39" s="99"/>
      <c r="EZ39" s="99"/>
      <c r="FA39" s="99"/>
      <c r="FB39" s="99"/>
      <c r="FC39" s="99"/>
      <c r="FD39" s="99"/>
      <c r="FE39" s="99"/>
      <c r="FF39" s="99"/>
      <c r="FG39" s="99"/>
      <c r="FH39" s="99"/>
      <c r="FI39" s="99"/>
      <c r="FJ39" s="99"/>
      <c r="FK39" s="99"/>
      <c r="FL39" s="99"/>
      <c r="FM39" s="99"/>
      <c r="FN39" s="99"/>
      <c r="FO39" s="99"/>
      <c r="FP39" s="99"/>
      <c r="FQ39" s="99"/>
      <c r="FR39" s="99"/>
      <c r="FS39" s="99"/>
      <c r="FT39" s="99"/>
      <c r="FU39" s="99"/>
      <c r="FV39" s="99"/>
      <c r="FW39" s="99"/>
      <c r="FX39" s="99"/>
      <c r="FY39" s="99"/>
      <c r="FZ39" s="99"/>
      <c r="GA39" s="99"/>
      <c r="GB39" s="99"/>
      <c r="GC39" s="99"/>
      <c r="GD39" s="99"/>
      <c r="GE39" s="99"/>
      <c r="GF39" s="99"/>
      <c r="GG39" s="99"/>
      <c r="GH39" s="99"/>
      <c r="GI39" s="99"/>
      <c r="GJ39" s="99"/>
      <c r="GK39" s="99"/>
      <c r="GL39" s="99"/>
      <c r="GM39" s="99"/>
      <c r="GN39" s="99"/>
      <c r="GO39" s="99"/>
      <c r="GP39" s="99"/>
      <c r="GQ39" s="99"/>
      <c r="GR39" s="99"/>
      <c r="GS39" s="99"/>
      <c r="GT39" s="99"/>
      <c r="GU39" s="99"/>
      <c r="GV39" s="99"/>
      <c r="GW39" s="99"/>
      <c r="GX39" s="99"/>
      <c r="GY39" s="99"/>
      <c r="GZ39" s="99"/>
      <c r="HA39" s="99"/>
      <c r="HB39" s="99"/>
      <c r="HC39" s="99"/>
      <c r="HD39" s="99"/>
      <c r="HE39" s="99"/>
      <c r="HF39" s="99"/>
      <c r="HG39" s="99"/>
      <c r="HH39" s="99"/>
      <c r="HI39" s="99"/>
      <c r="HJ39" s="99"/>
      <c r="HK39" s="99"/>
      <c r="HL39" s="99"/>
      <c r="HM39" s="99"/>
      <c r="HN39" s="99"/>
      <c r="HO39" s="99"/>
      <c r="HP39" s="99"/>
      <c r="HQ39" s="99"/>
      <c r="HR39" s="99"/>
      <c r="HS39" s="99"/>
      <c r="HT39" s="99"/>
      <c r="HU39" s="99"/>
      <c r="HV39" s="99"/>
      <c r="HW39" s="99"/>
      <c r="HX39" s="99"/>
      <c r="HY39" s="99"/>
      <c r="HZ39" s="99"/>
      <c r="IA39" s="99"/>
      <c r="IB39" s="99"/>
      <c r="IC39" s="99"/>
      <c r="ID39" s="99"/>
      <c r="IE39" s="99"/>
      <c r="IF39" s="99"/>
      <c r="IG39" s="99"/>
      <c r="IH39" s="99"/>
      <c r="II39" s="99"/>
      <c r="IJ39" s="99"/>
      <c r="IK39" s="99"/>
      <c r="IL39" s="99"/>
      <c r="IM39" s="99"/>
      <c r="IN39" s="99"/>
      <c r="IO39" s="99"/>
      <c r="IP39" s="99"/>
      <c r="IQ39" s="99"/>
      <c r="IR39" s="99"/>
      <c r="IS39" s="99"/>
      <c r="IT39" s="99"/>
      <c r="IU39" s="99"/>
      <c r="IV39" s="99"/>
    </row>
    <row r="40" spans="1:256" ht="15">
      <c r="A40" s="35" t="s">
        <v>543</v>
      </c>
      <c r="B40" s="99"/>
      <c r="C40" s="143"/>
      <c r="D40" s="99">
        <f>-'CONS-P&amp;L,BS'!H14</f>
        <v>-1271011.9635</v>
      </c>
      <c r="E40" s="144"/>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9"/>
      <c r="FE40" s="99"/>
      <c r="FF40" s="99"/>
      <c r="FG40" s="99"/>
      <c r="FH40" s="99"/>
      <c r="FI40" s="99"/>
      <c r="FJ40" s="99"/>
      <c r="FK40" s="99"/>
      <c r="FL40" s="99"/>
      <c r="FM40" s="99"/>
      <c r="FN40" s="99"/>
      <c r="FO40" s="99"/>
      <c r="FP40" s="99"/>
      <c r="FQ40" s="99"/>
      <c r="FR40" s="99"/>
      <c r="FS40" s="99"/>
      <c r="FT40" s="99"/>
      <c r="FU40" s="99"/>
      <c r="FV40" s="99"/>
      <c r="FW40" s="99"/>
      <c r="FX40" s="99"/>
      <c r="FY40" s="99"/>
      <c r="FZ40" s="99"/>
      <c r="GA40" s="99"/>
      <c r="GB40" s="99"/>
      <c r="GC40" s="99"/>
      <c r="GD40" s="99"/>
      <c r="GE40" s="99"/>
      <c r="GF40" s="99"/>
      <c r="GG40" s="99"/>
      <c r="GH40" s="99"/>
      <c r="GI40" s="99"/>
      <c r="GJ40" s="99"/>
      <c r="GK40" s="99"/>
      <c r="GL40" s="99"/>
      <c r="GM40" s="99"/>
      <c r="GN40" s="99"/>
      <c r="GO40" s="99"/>
      <c r="GP40" s="99"/>
      <c r="GQ40" s="99"/>
      <c r="GR40" s="99"/>
      <c r="GS40" s="99"/>
      <c r="GT40" s="99"/>
      <c r="GU40" s="99"/>
      <c r="GV40" s="99"/>
      <c r="GW40" s="99"/>
      <c r="GX40" s="99"/>
      <c r="GY40" s="99"/>
      <c r="GZ40" s="99"/>
      <c r="HA40" s="99"/>
      <c r="HB40" s="99"/>
      <c r="HC40" s="99"/>
      <c r="HD40" s="99"/>
      <c r="HE40" s="99"/>
      <c r="HF40" s="99"/>
      <c r="HG40" s="99"/>
      <c r="HH40" s="99"/>
      <c r="HI40" s="99"/>
      <c r="HJ40" s="99"/>
      <c r="HK40" s="99"/>
      <c r="HL40" s="99"/>
      <c r="HM40" s="99"/>
      <c r="HN40" s="99"/>
      <c r="HO40" s="99"/>
      <c r="HP40" s="99"/>
      <c r="HQ40" s="99"/>
      <c r="HR40" s="99"/>
      <c r="HS40" s="99"/>
      <c r="HT40" s="99"/>
      <c r="HU40" s="99"/>
      <c r="HV40" s="99"/>
      <c r="HW40" s="99"/>
      <c r="HX40" s="99"/>
      <c r="HY40" s="99"/>
      <c r="HZ40" s="99"/>
      <c r="IA40" s="99"/>
      <c r="IB40" s="99"/>
      <c r="IC40" s="99"/>
      <c r="ID40" s="99"/>
      <c r="IE40" s="99"/>
      <c r="IF40" s="99"/>
      <c r="IG40" s="99"/>
      <c r="IH40" s="99"/>
      <c r="II40" s="99"/>
      <c r="IJ40" s="99"/>
      <c r="IK40" s="99"/>
      <c r="IL40" s="99"/>
      <c r="IM40" s="99"/>
      <c r="IN40" s="99"/>
      <c r="IO40" s="99"/>
      <c r="IP40" s="99"/>
      <c r="IQ40" s="99"/>
      <c r="IR40" s="99"/>
      <c r="IS40" s="99"/>
      <c r="IT40" s="99"/>
      <c r="IU40" s="99"/>
      <c r="IV40" s="99"/>
    </row>
    <row r="41" spans="1:256" ht="15.75" thickBot="1">
      <c r="A41" s="120" t="s">
        <v>569</v>
      </c>
      <c r="B41" s="99"/>
      <c r="C41" s="143"/>
      <c r="D41" s="270">
        <f>SUM(D37:D40)</f>
        <v>528479.3197125001</v>
      </c>
      <c r="E41" s="144"/>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99"/>
      <c r="EQ41" s="99"/>
      <c r="ER41" s="99"/>
      <c r="ES41" s="99"/>
      <c r="ET41" s="99"/>
      <c r="EU41" s="99"/>
      <c r="EV41" s="99"/>
      <c r="EW41" s="99"/>
      <c r="EX41" s="99"/>
      <c r="EY41" s="99"/>
      <c r="EZ41" s="99"/>
      <c r="FA41" s="99"/>
      <c r="FB41" s="99"/>
      <c r="FC41" s="99"/>
      <c r="FD41" s="99"/>
      <c r="FE41" s="99"/>
      <c r="FF41" s="99"/>
      <c r="FG41" s="99"/>
      <c r="FH41" s="99"/>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c r="GH41" s="99"/>
      <c r="GI41" s="99"/>
      <c r="GJ41" s="99"/>
      <c r="GK41" s="99"/>
      <c r="GL41" s="99"/>
      <c r="GM41" s="99"/>
      <c r="GN41" s="99"/>
      <c r="GO41" s="99"/>
      <c r="GP41" s="99"/>
      <c r="GQ41" s="99"/>
      <c r="GR41" s="99"/>
      <c r="GS41" s="99"/>
      <c r="GT41" s="99"/>
      <c r="GU41" s="99"/>
      <c r="GV41" s="99"/>
      <c r="GW41" s="99"/>
      <c r="GX41" s="99"/>
      <c r="GY41" s="99"/>
      <c r="GZ41" s="99"/>
      <c r="HA41" s="99"/>
      <c r="HB41" s="99"/>
      <c r="HC41" s="99"/>
      <c r="HD41" s="99"/>
      <c r="HE41" s="99"/>
      <c r="HF41" s="99"/>
      <c r="HG41" s="99"/>
      <c r="HH41" s="99"/>
      <c r="HI41" s="99"/>
      <c r="HJ41" s="99"/>
      <c r="HK41" s="99"/>
      <c r="HL41" s="99"/>
      <c r="HM41" s="99"/>
      <c r="HN41" s="99"/>
      <c r="HO41" s="99"/>
      <c r="HP41" s="99"/>
      <c r="HQ41" s="99"/>
      <c r="HR41" s="99"/>
      <c r="HS41" s="99"/>
      <c r="HT41" s="99"/>
      <c r="HU41" s="99"/>
      <c r="HV41" s="99"/>
      <c r="HW41" s="99"/>
      <c r="HX41" s="99"/>
      <c r="HY41" s="99"/>
      <c r="HZ41" s="99"/>
      <c r="IA41" s="99"/>
      <c r="IB41" s="99"/>
      <c r="IC41" s="99"/>
      <c r="ID41" s="99"/>
      <c r="IE41" s="99"/>
      <c r="IF41" s="99"/>
      <c r="IG41" s="99"/>
      <c r="IH41" s="99"/>
      <c r="II41" s="99"/>
      <c r="IJ41" s="99"/>
      <c r="IK41" s="99"/>
      <c r="IL41" s="99"/>
      <c r="IM41" s="99"/>
      <c r="IN41" s="99"/>
      <c r="IO41" s="99"/>
      <c r="IP41" s="99"/>
      <c r="IQ41" s="99"/>
      <c r="IR41" s="99"/>
      <c r="IS41" s="99"/>
      <c r="IT41" s="99"/>
      <c r="IU41" s="99"/>
      <c r="IV41" s="99"/>
    </row>
    <row r="42" spans="1:256" ht="15.75" thickTop="1">
      <c r="A42" s="99"/>
      <c r="B42" s="145"/>
      <c r="C42" s="143"/>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c r="FW42" s="99"/>
      <c r="FX42" s="99"/>
      <c r="FY42" s="99"/>
      <c r="FZ42" s="99"/>
      <c r="GA42" s="99"/>
      <c r="GB42" s="99"/>
      <c r="GC42" s="99"/>
      <c r="GD42" s="99"/>
      <c r="GE42" s="99"/>
      <c r="GF42" s="99"/>
      <c r="GG42" s="99"/>
      <c r="GH42" s="99"/>
      <c r="GI42" s="99"/>
      <c r="GJ42" s="99"/>
      <c r="GK42" s="99"/>
      <c r="GL42" s="99"/>
      <c r="GM42" s="99"/>
      <c r="GN42" s="99"/>
      <c r="GO42" s="99"/>
      <c r="GP42" s="99"/>
      <c r="GQ42" s="99"/>
      <c r="GR42" s="99"/>
      <c r="GS42" s="99"/>
      <c r="GT42" s="99"/>
      <c r="GU42" s="99"/>
      <c r="GV42" s="99"/>
      <c r="GW42" s="99"/>
      <c r="GX42" s="99"/>
      <c r="GY42" s="99"/>
      <c r="GZ42" s="99"/>
      <c r="HA42" s="99"/>
      <c r="HB42" s="99"/>
      <c r="HC42" s="99"/>
      <c r="HD42" s="99"/>
      <c r="HE42" s="99"/>
      <c r="HF42" s="99"/>
      <c r="HG42" s="99"/>
      <c r="HH42" s="99"/>
      <c r="HI42" s="99"/>
      <c r="HJ42" s="99"/>
      <c r="HK42" s="99"/>
      <c r="HL42" s="99"/>
      <c r="HM42" s="99"/>
      <c r="HN42" s="99"/>
      <c r="HO42" s="99"/>
      <c r="HP42" s="99"/>
      <c r="HQ42" s="99"/>
      <c r="HR42" s="99"/>
      <c r="HS42" s="99"/>
      <c r="HT42" s="99"/>
      <c r="HU42" s="99"/>
      <c r="HV42" s="99"/>
      <c r="HW42" s="99"/>
      <c r="HX42" s="99"/>
      <c r="HY42" s="99"/>
      <c r="HZ42" s="99"/>
      <c r="IA42" s="99"/>
      <c r="IB42" s="99"/>
      <c r="IC42" s="99"/>
      <c r="ID42" s="99"/>
      <c r="IE42" s="99"/>
      <c r="IF42" s="99"/>
      <c r="IG42" s="99"/>
      <c r="IH42" s="99"/>
      <c r="II42" s="99"/>
      <c r="IJ42" s="99"/>
      <c r="IK42" s="99"/>
      <c r="IL42" s="99"/>
      <c r="IM42" s="99"/>
      <c r="IN42" s="99"/>
      <c r="IO42" s="99"/>
      <c r="IP42" s="99"/>
      <c r="IQ42" s="99"/>
      <c r="IR42" s="99"/>
      <c r="IS42" s="99"/>
      <c r="IT42" s="99"/>
      <c r="IU42" s="99"/>
      <c r="IV42" s="99"/>
    </row>
    <row r="43" spans="1:6" ht="15">
      <c r="A43" s="99"/>
      <c r="B43" s="99"/>
      <c r="D43" s="106" t="s">
        <v>295</v>
      </c>
      <c r="E43" s="106" t="s">
        <v>296</v>
      </c>
      <c r="F43" s="116"/>
    </row>
    <row r="44" spans="1:6" ht="15">
      <c r="A44" s="103" t="s">
        <v>298</v>
      </c>
      <c r="B44" s="99"/>
      <c r="F44" s="98"/>
    </row>
    <row r="45" spans="1:6" ht="15">
      <c r="A45" s="138" t="s">
        <v>219</v>
      </c>
      <c r="B45" s="99" t="s">
        <v>311</v>
      </c>
      <c r="D45" s="98">
        <f>-D40</f>
        <v>1271011.9635</v>
      </c>
      <c r="F45" s="98"/>
    </row>
    <row r="46" spans="1:6" ht="15">
      <c r="A46" s="99"/>
      <c r="B46" s="99" t="s">
        <v>313</v>
      </c>
      <c r="E46" s="98">
        <f>+D45</f>
        <v>1271011.9635</v>
      </c>
      <c r="F46" s="98"/>
    </row>
    <row r="47" spans="1:6" ht="15">
      <c r="A47" s="99"/>
      <c r="B47" s="99" t="s">
        <v>565</v>
      </c>
      <c r="F47" s="98"/>
    </row>
    <row r="48" spans="1:6" ht="15">
      <c r="A48" s="99"/>
      <c r="B48" s="99"/>
      <c r="F48" s="98"/>
    </row>
    <row r="49" spans="1:6" ht="15">
      <c r="A49" s="138" t="s">
        <v>220</v>
      </c>
      <c r="B49" s="99" t="s">
        <v>385</v>
      </c>
      <c r="D49" s="98">
        <v>0</v>
      </c>
      <c r="F49" s="98"/>
    </row>
    <row r="50" spans="1:6" ht="15">
      <c r="A50" s="99"/>
      <c r="B50" s="99" t="s">
        <v>313</v>
      </c>
      <c r="E50" s="98">
        <f>D49</f>
        <v>0</v>
      </c>
      <c r="F50" s="98"/>
    </row>
    <row r="51" spans="1:6" ht="15">
      <c r="A51" s="99"/>
      <c r="B51" s="99" t="s">
        <v>566</v>
      </c>
      <c r="F51" s="98"/>
    </row>
    <row r="52" spans="1:6" ht="15">
      <c r="A52" s="99"/>
      <c r="B52" s="99"/>
      <c r="F52" s="98"/>
    </row>
    <row r="53" spans="1:6" ht="15">
      <c r="A53" s="99"/>
      <c r="B53" s="99"/>
      <c r="F53" s="98"/>
    </row>
    <row r="54" spans="1:6" ht="15">
      <c r="A54" s="99"/>
      <c r="B54" s="132"/>
      <c r="F54" s="98"/>
    </row>
    <row r="55" spans="1:6" ht="15">
      <c r="A55" s="99"/>
      <c r="B55" s="145"/>
      <c r="F55" s="98"/>
    </row>
    <row r="56" spans="1:2" ht="15">
      <c r="A56" s="99"/>
      <c r="B56" s="145"/>
    </row>
  </sheetData>
  <printOptions/>
  <pageMargins left="0.75" right="0.75" top="1" bottom="1" header="0.5" footer="0.5"/>
  <pageSetup horizontalDpi="300" verticalDpi="300" orientation="portrait" scale="80" r:id="rId1"/>
</worksheet>
</file>

<file path=xl/worksheets/sheet12.xml><?xml version="1.0" encoding="utf-8"?>
<worksheet xmlns="http://schemas.openxmlformats.org/spreadsheetml/2006/main" xmlns:r="http://schemas.openxmlformats.org/officeDocument/2006/relationships">
  <dimension ref="A1:AD149"/>
  <sheetViews>
    <sheetView zoomScale="75" zoomScaleNormal="75" workbookViewId="0" topLeftCell="A1">
      <pane xSplit="1" ySplit="3" topLeftCell="B4" activePane="bottomRight" state="frozen"/>
      <selection pane="topLeft" activeCell="A1" sqref="A1"/>
      <selection pane="topRight" activeCell="B1" sqref="B1"/>
      <selection pane="bottomLeft" activeCell="A8" sqref="A8"/>
      <selection pane="bottomRight" activeCell="C13" sqref="C13"/>
    </sheetView>
  </sheetViews>
  <sheetFormatPr defaultColWidth="12.7109375" defaultRowHeight="12.75"/>
  <cols>
    <col min="1" max="1" width="38.7109375" style="35" customWidth="1"/>
    <col min="2" max="2" width="3.28125" style="196" hidden="1" customWidth="1"/>
    <col min="3" max="3" width="18.8515625" style="52" customWidth="1"/>
    <col min="4" max="4" width="16.421875" style="52" customWidth="1"/>
    <col min="5" max="5" width="16.7109375" style="52" customWidth="1"/>
    <col min="6" max="6" width="18.140625" style="52" customWidth="1"/>
    <col min="7" max="7" width="18.57421875" style="52" customWidth="1"/>
    <col min="8" max="8" width="6.8515625" style="52" hidden="1" customWidth="1"/>
    <col min="9" max="9" width="15.00390625" style="52" customWidth="1"/>
    <col min="10" max="10" width="15.57421875" style="52" customWidth="1"/>
    <col min="11" max="11" width="0.5625" style="52" customWidth="1"/>
    <col min="12" max="12" width="14.7109375" style="83" customWidth="1"/>
    <col min="13" max="30" width="12.7109375" style="35" customWidth="1"/>
  </cols>
  <sheetData>
    <row r="1" spans="1:30" s="49" customFormat="1" ht="15.75">
      <c r="A1" s="271"/>
      <c r="B1" s="272"/>
      <c r="C1" s="273"/>
      <c r="D1" s="273"/>
      <c r="E1" s="273"/>
      <c r="F1" s="273"/>
      <c r="G1" s="274"/>
      <c r="H1" s="274"/>
      <c r="I1" s="274"/>
      <c r="J1" s="274" t="s">
        <v>422</v>
      </c>
      <c r="K1" s="61"/>
      <c r="L1" s="87"/>
      <c r="M1" s="200"/>
      <c r="N1" s="200"/>
      <c r="O1" s="200"/>
      <c r="P1" s="200"/>
      <c r="Q1" s="200"/>
      <c r="R1" s="200"/>
      <c r="S1" s="200"/>
      <c r="T1" s="200"/>
      <c r="U1" s="200"/>
      <c r="V1" s="200"/>
      <c r="W1" s="200"/>
      <c r="X1" s="200"/>
      <c r="Y1" s="200"/>
      <c r="Z1" s="200"/>
      <c r="AA1" s="200"/>
      <c r="AB1" s="200"/>
      <c r="AC1" s="200"/>
      <c r="AD1" s="200"/>
    </row>
    <row r="2" spans="1:30" s="49" customFormat="1" ht="15.75">
      <c r="A2" s="275"/>
      <c r="B2" s="276" t="s">
        <v>189</v>
      </c>
      <c r="C2" s="277" t="s">
        <v>423</v>
      </c>
      <c r="D2" s="277" t="s">
        <v>424</v>
      </c>
      <c r="E2" s="277" t="s">
        <v>425</v>
      </c>
      <c r="F2" s="277" t="s">
        <v>426</v>
      </c>
      <c r="G2" s="277" t="s">
        <v>195</v>
      </c>
      <c r="H2" s="277"/>
      <c r="I2" s="277" t="s">
        <v>196</v>
      </c>
      <c r="J2" s="278" t="s">
        <v>427</v>
      </c>
      <c r="K2" s="61"/>
      <c r="L2" s="204"/>
      <c r="M2" s="200"/>
      <c r="N2" s="200"/>
      <c r="O2" s="200"/>
      <c r="P2" s="200"/>
      <c r="Q2" s="200"/>
      <c r="R2" s="200"/>
      <c r="S2" s="200"/>
      <c r="T2" s="200"/>
      <c r="U2" s="200"/>
      <c r="V2" s="200"/>
      <c r="W2" s="200"/>
      <c r="X2" s="200"/>
      <c r="Y2" s="200"/>
      <c r="Z2" s="200"/>
      <c r="AA2" s="200"/>
      <c r="AB2" s="200"/>
      <c r="AC2" s="200"/>
      <c r="AD2" s="200"/>
    </row>
    <row r="3" spans="1:30" s="49" customFormat="1" ht="15.75">
      <c r="A3" s="271"/>
      <c r="B3" s="272"/>
      <c r="C3" s="274" t="s">
        <v>201</v>
      </c>
      <c r="D3" s="274" t="s">
        <v>201</v>
      </c>
      <c r="E3" s="274" t="s">
        <v>201</v>
      </c>
      <c r="F3" s="274" t="s">
        <v>201</v>
      </c>
      <c r="G3" s="274" t="s">
        <v>201</v>
      </c>
      <c r="H3" s="274"/>
      <c r="I3" s="274" t="s">
        <v>201</v>
      </c>
      <c r="J3" s="274" t="s">
        <v>201</v>
      </c>
      <c r="K3" s="61"/>
      <c r="L3" s="87"/>
      <c r="M3" s="200"/>
      <c r="N3" s="200"/>
      <c r="O3" s="200"/>
      <c r="P3" s="200"/>
      <c r="Q3" s="200"/>
      <c r="R3" s="200"/>
      <c r="S3" s="200"/>
      <c r="T3" s="200"/>
      <c r="U3" s="200"/>
      <c r="V3" s="200"/>
      <c r="W3" s="200"/>
      <c r="X3" s="200"/>
      <c r="Y3" s="200"/>
      <c r="Z3" s="200"/>
      <c r="AA3" s="200"/>
      <c r="AB3" s="200"/>
      <c r="AC3" s="200"/>
      <c r="AD3" s="200"/>
    </row>
    <row r="4" spans="1:30" s="49" customFormat="1" ht="15.75">
      <c r="A4" s="271"/>
      <c r="B4" s="272"/>
      <c r="C4" s="274"/>
      <c r="D4" s="274"/>
      <c r="E4" s="274"/>
      <c r="F4" s="274"/>
      <c r="G4" s="274"/>
      <c r="H4" s="274"/>
      <c r="I4" s="274"/>
      <c r="J4" s="274"/>
      <c r="K4" s="61"/>
      <c r="L4" s="87"/>
      <c r="M4" s="200"/>
      <c r="N4" s="200"/>
      <c r="O4" s="200"/>
      <c r="P4" s="200"/>
      <c r="Q4" s="200"/>
      <c r="R4" s="200"/>
      <c r="S4" s="200"/>
      <c r="T4" s="200"/>
      <c r="U4" s="200"/>
      <c r="V4" s="200"/>
      <c r="W4" s="200"/>
      <c r="X4" s="200"/>
      <c r="Y4" s="200"/>
      <c r="Z4" s="200"/>
      <c r="AA4" s="200"/>
      <c r="AB4" s="200"/>
      <c r="AC4" s="200"/>
      <c r="AD4" s="200"/>
    </row>
    <row r="5" spans="1:12" ht="15.75">
      <c r="A5" s="279"/>
      <c r="B5" s="280"/>
      <c r="C5" s="274"/>
      <c r="D5" s="281"/>
      <c r="E5" s="281"/>
      <c r="F5" s="281"/>
      <c r="G5" s="281"/>
      <c r="H5" s="281"/>
      <c r="I5" s="281"/>
      <c r="J5" s="281"/>
      <c r="L5" s="265"/>
    </row>
    <row r="6" spans="1:12" ht="16.5" thickBot="1">
      <c r="A6" s="279" t="s">
        <v>3</v>
      </c>
      <c r="B6" s="280"/>
      <c r="C6" s="282">
        <v>38965626</v>
      </c>
      <c r="D6" s="282">
        <v>74644278</v>
      </c>
      <c r="E6" s="282">
        <v>1759424</v>
      </c>
      <c r="F6" s="282">
        <v>656663</v>
      </c>
      <c r="G6" s="282">
        <f>SUM(C6:F6)</f>
        <v>116025991</v>
      </c>
      <c r="H6" s="274"/>
      <c r="I6" s="274"/>
      <c r="J6" s="282">
        <f>SUM(G6:I6)</f>
        <v>116025991</v>
      </c>
      <c r="L6" s="87"/>
    </row>
    <row r="7" spans="1:12" ht="16.5" thickTop="1">
      <c r="A7" s="279"/>
      <c r="B7" s="280"/>
      <c r="C7" s="274"/>
      <c r="D7" s="274"/>
      <c r="E7" s="274"/>
      <c r="F7" s="274"/>
      <c r="G7" s="274"/>
      <c r="H7" s="274"/>
      <c r="I7" s="274"/>
      <c r="J7" s="274"/>
      <c r="L7" s="87"/>
    </row>
    <row r="8" spans="1:12" ht="15.75">
      <c r="A8" s="279" t="s">
        <v>227</v>
      </c>
      <c r="B8" s="280"/>
      <c r="C8" s="274">
        <f>-28097019-8042886-905806</f>
        <v>-37045711</v>
      </c>
      <c r="D8" s="274">
        <f>-71492094-1900028-8460</f>
        <v>-73400582</v>
      </c>
      <c r="E8" s="274">
        <f>-1628663-32026-87561</f>
        <v>-1748250</v>
      </c>
      <c r="F8" s="274">
        <v>0</v>
      </c>
      <c r="G8" s="274">
        <f>SUM(C8:F8)</f>
        <v>-112194543</v>
      </c>
      <c r="H8" s="274"/>
      <c r="I8" s="274"/>
      <c r="J8" s="274">
        <f>SUM(G8:I8)</f>
        <v>-112194543</v>
      </c>
      <c r="L8" s="87"/>
    </row>
    <row r="9" spans="1:12" ht="15.75">
      <c r="A9" s="279"/>
      <c r="B9" s="280"/>
      <c r="C9" s="274"/>
      <c r="D9" s="274"/>
      <c r="E9" s="274"/>
      <c r="F9" s="274"/>
      <c r="G9" s="274"/>
      <c r="H9" s="274"/>
      <c r="I9" s="274"/>
      <c r="J9" s="274"/>
      <c r="L9" s="87"/>
    </row>
    <row r="10" spans="1:12" ht="16.5" thickBot="1">
      <c r="A10" s="279" t="s">
        <v>228</v>
      </c>
      <c r="B10" s="280"/>
      <c r="C10" s="283">
        <f>SUM(C6:C9)</f>
        <v>1919915</v>
      </c>
      <c r="D10" s="283">
        <f>SUM(D6:D9)</f>
        <v>1243696</v>
      </c>
      <c r="E10" s="283">
        <f>SUM(E6:E9)</f>
        <v>11174</v>
      </c>
      <c r="F10" s="283">
        <f>SUM(F6:F9)</f>
        <v>656663</v>
      </c>
      <c r="G10" s="283">
        <f>SUM(G6:G9)</f>
        <v>3831448</v>
      </c>
      <c r="H10" s="274"/>
      <c r="I10" s="281"/>
      <c r="J10" s="283">
        <f>SUM(J6:J9)</f>
        <v>3831448</v>
      </c>
      <c r="L10" s="65"/>
    </row>
    <row r="11" spans="1:12" ht="16.5" thickTop="1">
      <c r="A11" s="279"/>
      <c r="B11" s="280"/>
      <c r="C11" s="274"/>
      <c r="D11" s="274"/>
      <c r="E11" s="274"/>
      <c r="F11" s="274"/>
      <c r="G11" s="281"/>
      <c r="H11" s="281"/>
      <c r="I11" s="281"/>
      <c r="J11" s="281"/>
      <c r="L11" s="265"/>
    </row>
    <row r="12" spans="1:12" ht="16.5">
      <c r="A12" s="284" t="s">
        <v>436</v>
      </c>
      <c r="B12" s="285"/>
      <c r="C12" s="286">
        <v>1002708</v>
      </c>
      <c r="D12" s="286" t="s">
        <v>6</v>
      </c>
      <c r="E12" s="286"/>
      <c r="F12" s="286">
        <v>611291.66</v>
      </c>
      <c r="G12" s="287">
        <f>SUM(C12:F12)</f>
        <v>1613999.6600000001</v>
      </c>
      <c r="H12" s="281"/>
      <c r="I12" s="281"/>
      <c r="J12" s="281">
        <f>SUM(G12:I12)</f>
        <v>1613999.6600000001</v>
      </c>
      <c r="L12" s="265"/>
    </row>
    <row r="13" spans="1:12" ht="16.5">
      <c r="A13" s="284" t="s">
        <v>438</v>
      </c>
      <c r="B13" s="285"/>
      <c r="C13" s="286">
        <f>72000+270000</f>
        <v>342000</v>
      </c>
      <c r="D13" s="286">
        <v>126446.64</v>
      </c>
      <c r="E13" s="286"/>
      <c r="F13" s="286"/>
      <c r="G13" s="287">
        <f>SUM(C13:F13)</f>
        <v>468446.64</v>
      </c>
      <c r="H13" s="281"/>
      <c r="I13" s="281"/>
      <c r="J13" s="281">
        <f>SUM(G13:I13)</f>
        <v>468446.64</v>
      </c>
      <c r="L13" s="265"/>
    </row>
    <row r="14" spans="1:12" ht="15.75">
      <c r="A14" s="279"/>
      <c r="B14" s="280"/>
      <c r="C14" s="274"/>
      <c r="D14" s="274"/>
      <c r="E14" s="274"/>
      <c r="F14" s="274"/>
      <c r="G14" s="281"/>
      <c r="H14" s="281"/>
      <c r="I14" s="281"/>
      <c r="J14" s="281"/>
      <c r="L14" s="265"/>
    </row>
    <row r="15" spans="1:12" ht="15.75">
      <c r="A15" s="279" t="s">
        <v>229</v>
      </c>
      <c r="B15" s="280"/>
      <c r="C15" s="274">
        <f>5857533+4</f>
        <v>5857537</v>
      </c>
      <c r="D15" s="274">
        <v>2662737</v>
      </c>
      <c r="E15" s="274">
        <v>57910</v>
      </c>
      <c r="F15" s="274">
        <v>-247493</v>
      </c>
      <c r="G15" s="274">
        <f>SUM(C15:F15)</f>
        <v>8330691</v>
      </c>
      <c r="H15" s="288"/>
      <c r="I15" s="274"/>
      <c r="J15" s="274">
        <f>SUM(G15:I15)</f>
        <v>8330691</v>
      </c>
      <c r="L15" s="87"/>
    </row>
    <row r="16" spans="1:12" ht="6" customHeight="1">
      <c r="A16" s="279"/>
      <c r="B16" s="280"/>
      <c r="C16" s="274"/>
      <c r="D16" s="274"/>
      <c r="E16" s="274"/>
      <c r="F16" s="274"/>
      <c r="G16" s="274"/>
      <c r="H16" s="288"/>
      <c r="I16" s="274"/>
      <c r="J16" s="274"/>
      <c r="L16" s="87"/>
    </row>
    <row r="17" spans="1:12" ht="16.5">
      <c r="A17" s="289" t="s">
        <v>539</v>
      </c>
      <c r="B17" s="290"/>
      <c r="C17" s="291">
        <f>1503918+2149853+1921472.67</f>
        <v>5575243.67</v>
      </c>
      <c r="D17" s="292">
        <v>0</v>
      </c>
      <c r="E17" s="292">
        <v>0</v>
      </c>
      <c r="F17" s="292">
        <v>0</v>
      </c>
      <c r="G17" s="291">
        <f>SUM(C17:F17)</f>
        <v>5575243.67</v>
      </c>
      <c r="H17" s="293"/>
      <c r="I17" s="291"/>
      <c r="J17" s="291">
        <f>+G17</f>
        <v>5575243.67</v>
      </c>
      <c r="L17" s="87"/>
    </row>
    <row r="18" spans="1:12" ht="6" customHeight="1">
      <c r="A18" s="294"/>
      <c r="B18" s="295"/>
      <c r="C18" s="274"/>
      <c r="D18" s="274"/>
      <c r="E18" s="274"/>
      <c r="F18" s="274"/>
      <c r="G18" s="274"/>
      <c r="H18" s="274"/>
      <c r="I18" s="274"/>
      <c r="J18" s="274"/>
      <c r="L18" s="87"/>
    </row>
    <row r="19" spans="1:12" ht="15.75">
      <c r="A19" s="279" t="s">
        <v>21</v>
      </c>
      <c r="B19" s="280">
        <v>8</v>
      </c>
      <c r="C19" s="296">
        <v>-1640110</v>
      </c>
      <c r="D19" s="296">
        <v>-745566</v>
      </c>
      <c r="E19" s="296">
        <v>-16215</v>
      </c>
      <c r="F19" s="296">
        <v>0</v>
      </c>
      <c r="G19" s="296">
        <f>SUM(C19:F19)</f>
        <v>-2401891</v>
      </c>
      <c r="H19" s="274"/>
      <c r="I19" s="281"/>
      <c r="J19" s="296">
        <f>SUM(G19:I19)</f>
        <v>-2401891</v>
      </c>
      <c r="L19" s="87"/>
    </row>
    <row r="20" spans="1:12" ht="15.75">
      <c r="A20" s="279"/>
      <c r="B20" s="280"/>
      <c r="C20" s="274"/>
      <c r="D20" s="274"/>
      <c r="E20" s="274"/>
      <c r="F20" s="274"/>
      <c r="G20" s="274"/>
      <c r="H20" s="274"/>
      <c r="I20" s="274"/>
      <c r="J20" s="274"/>
      <c r="L20" s="87"/>
    </row>
    <row r="21" spans="1:12" ht="15.75">
      <c r="A21" s="279" t="s">
        <v>232</v>
      </c>
      <c r="B21" s="280"/>
      <c r="C21" s="274">
        <f>C15+C19</f>
        <v>4217427</v>
      </c>
      <c r="D21" s="274">
        <f>D15+D19</f>
        <v>1917171</v>
      </c>
      <c r="E21" s="274">
        <f>E15+E19</f>
        <v>41695</v>
      </c>
      <c r="F21" s="274">
        <f>F15+F19</f>
        <v>-247493</v>
      </c>
      <c r="G21" s="274">
        <f>G15+G19</f>
        <v>5928800</v>
      </c>
      <c r="H21" s="274"/>
      <c r="I21" s="274"/>
      <c r="J21" s="274">
        <f>+J15+J19</f>
        <v>5928800</v>
      </c>
      <c r="L21" s="87"/>
    </row>
    <row r="22" spans="1:12" ht="15.75">
      <c r="A22" s="279"/>
      <c r="B22" s="280"/>
      <c r="C22" s="274"/>
      <c r="D22" s="274"/>
      <c r="E22" s="274"/>
      <c r="F22" s="274"/>
      <c r="G22" s="274"/>
      <c r="H22" s="274"/>
      <c r="I22" s="274"/>
      <c r="J22" s="274"/>
      <c r="L22" s="87"/>
    </row>
    <row r="23" spans="1:12" ht="15.75">
      <c r="A23" s="279" t="s">
        <v>235</v>
      </c>
      <c r="B23" s="280"/>
      <c r="C23" s="296">
        <v>109948486</v>
      </c>
      <c r="D23" s="296">
        <v>14648625</v>
      </c>
      <c r="E23" s="296">
        <v>-2569190</v>
      </c>
      <c r="F23" s="296">
        <v>3931317</v>
      </c>
      <c r="G23" s="296">
        <f>SUM(C23:F23)</f>
        <v>125959238</v>
      </c>
      <c r="H23" s="288"/>
      <c r="I23" s="274"/>
      <c r="J23" s="296">
        <f>SUM(G23:I23)</f>
        <v>125959238</v>
      </c>
      <c r="L23" s="87"/>
    </row>
    <row r="24" spans="1:12" ht="15.75">
      <c r="A24" s="279"/>
      <c r="B24" s="280"/>
      <c r="C24" s="274"/>
      <c r="D24" s="274"/>
      <c r="E24" s="274"/>
      <c r="F24" s="274"/>
      <c r="G24" s="274"/>
      <c r="H24" s="274"/>
      <c r="I24" s="274"/>
      <c r="J24" s="274"/>
      <c r="L24" s="87"/>
    </row>
    <row r="25" spans="1:12" ht="15.75">
      <c r="A25" s="279" t="s">
        <v>236</v>
      </c>
      <c r="B25" s="280"/>
      <c r="C25" s="274">
        <f>C21+C23</f>
        <v>114165913</v>
      </c>
      <c r="D25" s="274">
        <f>D21+D23</f>
        <v>16565796</v>
      </c>
      <c r="E25" s="274">
        <f>E21+E23</f>
        <v>-2527495</v>
      </c>
      <c r="F25" s="274">
        <f>F21+F23</f>
        <v>3683824</v>
      </c>
      <c r="G25" s="274">
        <f>G21+G23</f>
        <v>131888038</v>
      </c>
      <c r="H25" s="274"/>
      <c r="I25" s="274"/>
      <c r="J25" s="274">
        <f>SUM(J21:J23)</f>
        <v>131888038</v>
      </c>
      <c r="L25" s="87"/>
    </row>
    <row r="26" spans="1:12" ht="15.75">
      <c r="A26" s="279"/>
      <c r="B26" s="280"/>
      <c r="C26" s="274"/>
      <c r="D26" s="274"/>
      <c r="E26" s="274"/>
      <c r="F26" s="274"/>
      <c r="G26" s="274"/>
      <c r="H26" s="274"/>
      <c r="I26" s="274"/>
      <c r="J26" s="274"/>
      <c r="L26" s="87"/>
    </row>
    <row r="27" spans="1:12" ht="15.75">
      <c r="A27" s="294" t="s">
        <v>237</v>
      </c>
      <c r="B27" s="295"/>
      <c r="C27" s="274">
        <v>0</v>
      </c>
      <c r="D27" s="274">
        <v>0</v>
      </c>
      <c r="E27" s="274">
        <v>0</v>
      </c>
      <c r="F27" s="274">
        <v>0</v>
      </c>
      <c r="G27" s="281">
        <f>SUM(C27:F27)</f>
        <v>0</v>
      </c>
      <c r="H27" s="281"/>
      <c r="I27" s="281"/>
      <c r="J27" s="281">
        <f>SUM(G27:I27)</f>
        <v>0</v>
      </c>
      <c r="L27" s="87"/>
    </row>
    <row r="28" spans="1:12" ht="15.75">
      <c r="A28" s="294"/>
      <c r="B28" s="295"/>
      <c r="C28" s="274"/>
      <c r="D28" s="274"/>
      <c r="E28" s="274"/>
      <c r="F28" s="274"/>
      <c r="G28" s="281"/>
      <c r="H28" s="281"/>
      <c r="I28" s="281"/>
      <c r="J28" s="281"/>
      <c r="L28" s="265"/>
    </row>
    <row r="29" spans="1:12" ht="16.5" thickBot="1">
      <c r="A29" s="279" t="s">
        <v>238</v>
      </c>
      <c r="B29" s="280"/>
      <c r="C29" s="283">
        <f>C25+C27</f>
        <v>114165913</v>
      </c>
      <c r="D29" s="283">
        <f>D25+D27</f>
        <v>16565796</v>
      </c>
      <c r="E29" s="283">
        <f>E25+E27</f>
        <v>-2527495</v>
      </c>
      <c r="F29" s="283">
        <f>F25+F27</f>
        <v>3683824</v>
      </c>
      <c r="G29" s="283">
        <f>G25+G27</f>
        <v>131888038</v>
      </c>
      <c r="H29" s="274"/>
      <c r="I29" s="274"/>
      <c r="J29" s="283">
        <f>+G29+I29</f>
        <v>131888038</v>
      </c>
      <c r="L29" s="87"/>
    </row>
    <row r="30" ht="15.75" thickTop="1">
      <c r="L30" s="265"/>
    </row>
    <row r="31" ht="15">
      <c r="L31" s="265"/>
    </row>
    <row r="32" ht="15">
      <c r="L32" s="265"/>
    </row>
    <row r="33" ht="15">
      <c r="L33" s="265"/>
    </row>
    <row r="34" ht="15">
      <c r="L34" s="265"/>
    </row>
    <row r="35" ht="15">
      <c r="L35" s="265"/>
    </row>
    <row r="36" ht="15">
      <c r="L36" s="265"/>
    </row>
    <row r="37" ht="15">
      <c r="L37" s="265"/>
    </row>
    <row r="38" ht="15">
      <c r="L38" s="265"/>
    </row>
    <row r="39" ht="15">
      <c r="L39" s="265"/>
    </row>
    <row r="40" ht="15">
      <c r="L40" s="265"/>
    </row>
    <row r="41" ht="15">
      <c r="L41" s="265"/>
    </row>
    <row r="42" ht="15">
      <c r="L42" s="265"/>
    </row>
    <row r="43" ht="15">
      <c r="L43" s="265"/>
    </row>
    <row r="44" ht="15">
      <c r="L44" s="265"/>
    </row>
    <row r="45" spans="2:12" ht="15">
      <c r="B45" s="227"/>
      <c r="C45" s="217"/>
      <c r="D45" s="228"/>
      <c r="E45" s="212"/>
      <c r="F45" s="212"/>
      <c r="G45" s="212"/>
      <c r="H45" s="212"/>
      <c r="I45" s="212"/>
      <c r="J45" s="212"/>
      <c r="K45" s="212"/>
      <c r="L45" s="237"/>
    </row>
    <row r="46" spans="1:12" ht="15">
      <c r="A46" s="226" t="s">
        <v>239</v>
      </c>
      <c r="B46" s="227"/>
      <c r="C46" s="57" t="s">
        <v>423</v>
      </c>
      <c r="D46" s="57" t="s">
        <v>424</v>
      </c>
      <c r="E46" s="57" t="s">
        <v>425</v>
      </c>
      <c r="F46" s="57" t="s">
        <v>426</v>
      </c>
      <c r="G46" s="57" t="s">
        <v>195</v>
      </c>
      <c r="H46" s="57"/>
      <c r="I46" s="57" t="s">
        <v>196</v>
      </c>
      <c r="J46" s="203" t="s">
        <v>427</v>
      </c>
      <c r="K46" s="212"/>
      <c r="L46" s="237"/>
    </row>
    <row r="47" spans="1:12" ht="15">
      <c r="A47" s="226"/>
      <c r="B47" s="227"/>
      <c r="C47" s="65" t="s">
        <v>201</v>
      </c>
      <c r="D47" s="65" t="s">
        <v>201</v>
      </c>
      <c r="E47" s="65" t="s">
        <v>201</v>
      </c>
      <c r="F47" s="65" t="s">
        <v>201</v>
      </c>
      <c r="G47" s="65" t="s">
        <v>201</v>
      </c>
      <c r="H47" s="65"/>
      <c r="I47" s="65" t="s">
        <v>201</v>
      </c>
      <c r="J47" s="65" t="s">
        <v>201</v>
      </c>
      <c r="K47" s="212"/>
      <c r="L47" s="237"/>
    </row>
    <row r="48" spans="1:12" ht="15.75">
      <c r="A48" s="226" t="s">
        <v>240</v>
      </c>
      <c r="B48" s="227">
        <v>1</v>
      </c>
      <c r="C48" s="297">
        <f>+'DMSB-BS'!C10+'DMSB-BS'!C11+'DMSB-BS'!C12</f>
        <v>32519780</v>
      </c>
      <c r="D48" s="297">
        <f>+'DMSB-BS'!F10+'DMSB-BS'!F11</f>
        <v>18964458</v>
      </c>
      <c r="E48" s="297">
        <f>+'DMSB-BS'!I10+'DMSB-BS'!I11</f>
        <v>181172</v>
      </c>
      <c r="F48" s="297">
        <f>+'DMSB-BS'!L10+'DMSB-BS'!L11</f>
        <v>4144931</v>
      </c>
      <c r="G48" s="297">
        <f aca="true" t="shared" si="0" ref="G48:G57">SUM(C48:F48)</f>
        <v>55810341</v>
      </c>
      <c r="H48" s="297"/>
      <c r="I48" s="297"/>
      <c r="J48" s="297">
        <f aca="true" t="shared" si="1" ref="J48:J56">SUM(G48:I48)</f>
        <v>55810341</v>
      </c>
      <c r="K48" s="212"/>
      <c r="L48" s="217"/>
    </row>
    <row r="49" spans="1:12" ht="15.75">
      <c r="A49" s="226" t="s">
        <v>428</v>
      </c>
      <c r="B49" s="227"/>
      <c r="C49" s="297">
        <f>+'DMSB-BS'!C13</f>
        <v>22500000</v>
      </c>
      <c r="D49" s="297">
        <f>+'DMSB-BS'!F13</f>
        <v>16210000</v>
      </c>
      <c r="E49" s="297">
        <f>+'DMSB-BS'!I13</f>
        <v>0</v>
      </c>
      <c r="F49" s="297">
        <f>+'DMSB-BS'!L13</f>
        <v>0</v>
      </c>
      <c r="G49" s="297">
        <f t="shared" si="0"/>
        <v>38710000</v>
      </c>
      <c r="H49" s="297"/>
      <c r="I49" s="297"/>
      <c r="J49" s="297">
        <f t="shared" si="1"/>
        <v>38710000</v>
      </c>
      <c r="K49" s="212"/>
      <c r="L49" s="217"/>
    </row>
    <row r="50" spans="1:12" ht="15.75">
      <c r="A50" s="226" t="s">
        <v>241</v>
      </c>
      <c r="B50" s="227">
        <v>2</v>
      </c>
      <c r="C50" s="297">
        <f>+'DMSB-BS'!C18</f>
        <v>13190932</v>
      </c>
      <c r="D50" s="297">
        <f>+'DMSB-BS'!F18</f>
        <v>11963762</v>
      </c>
      <c r="E50" s="297">
        <f>+'DMSB-BS'!I18</f>
        <v>1504525</v>
      </c>
      <c r="F50" s="297">
        <f>+'DMSB-BS'!L22</f>
        <v>18712150</v>
      </c>
      <c r="G50" s="297">
        <f t="shared" si="0"/>
        <v>45371369</v>
      </c>
      <c r="H50" s="297"/>
      <c r="I50" s="297"/>
      <c r="J50" s="297">
        <f t="shared" si="1"/>
        <v>45371369</v>
      </c>
      <c r="K50" s="212"/>
      <c r="L50" s="217"/>
    </row>
    <row r="51" spans="1:12" ht="15.75">
      <c r="A51" s="229" t="s">
        <v>242</v>
      </c>
      <c r="B51" s="213">
        <v>3</v>
      </c>
      <c r="C51" s="297">
        <f>+'DMSB-BS'!C37</f>
        <v>17338506</v>
      </c>
      <c r="D51" s="297">
        <f>+'DMSB-BS'!F37</f>
        <v>1043181</v>
      </c>
      <c r="E51" s="297">
        <f>+'DMSB-BS'!I37</f>
        <v>295473</v>
      </c>
      <c r="F51" s="297">
        <f>+'DMSB-BS'!L37</f>
        <v>1482784</v>
      </c>
      <c r="G51" s="297">
        <f t="shared" si="0"/>
        <v>20159944</v>
      </c>
      <c r="H51" s="297"/>
      <c r="I51" s="297">
        <f>+I65</f>
        <v>-10000000</v>
      </c>
      <c r="J51" s="297">
        <f t="shared" si="1"/>
        <v>10159944</v>
      </c>
      <c r="K51" s="212"/>
      <c r="L51" s="217"/>
    </row>
    <row r="52" spans="1:12" ht="15.75">
      <c r="A52" s="226" t="s">
        <v>42</v>
      </c>
      <c r="B52" s="227">
        <v>4</v>
      </c>
      <c r="C52" s="297">
        <f>+'DMSB-BS'!C24</f>
        <v>29538341</v>
      </c>
      <c r="D52" s="297">
        <f>+'DMSB-BS'!F24</f>
        <v>5983918</v>
      </c>
      <c r="E52" s="297">
        <f>+'DMSB-BS'!I24</f>
        <v>1844045</v>
      </c>
      <c r="F52" s="297">
        <f>+'[2]Notes'!E77</f>
        <v>0</v>
      </c>
      <c r="G52" s="297">
        <f t="shared" si="0"/>
        <v>37366304</v>
      </c>
      <c r="H52" s="297"/>
      <c r="I52" s="297"/>
      <c r="J52" s="297">
        <f t="shared" si="1"/>
        <v>37366304</v>
      </c>
      <c r="K52" s="212"/>
      <c r="L52" s="217"/>
    </row>
    <row r="53" spans="1:12" ht="15.75">
      <c r="A53" s="226" t="s">
        <v>429</v>
      </c>
      <c r="B53" s="227"/>
      <c r="C53" s="297">
        <v>0</v>
      </c>
      <c r="D53" s="297">
        <v>0</v>
      </c>
      <c r="E53" s="297">
        <v>0</v>
      </c>
      <c r="F53" s="297">
        <v>0</v>
      </c>
      <c r="G53" s="297">
        <f t="shared" si="0"/>
        <v>0</v>
      </c>
      <c r="H53" s="297"/>
      <c r="I53" s="297"/>
      <c r="J53" s="297">
        <f t="shared" si="1"/>
        <v>0</v>
      </c>
      <c r="K53" s="212"/>
      <c r="L53" s="217"/>
    </row>
    <row r="54" spans="1:12" ht="15.75">
      <c r="A54" s="226" t="s">
        <v>430</v>
      </c>
      <c r="B54" s="227"/>
      <c r="C54" s="298">
        <f>+'DMSB-BS'!C46</f>
        <v>0</v>
      </c>
      <c r="D54" s="298">
        <f>+'DMSB-BS'!F46</f>
        <v>277005</v>
      </c>
      <c r="E54" s="298">
        <f>+'DMSB-BS'!IG46</f>
        <v>0</v>
      </c>
      <c r="F54" s="298">
        <f>+'DMSB-BS'!IL46</f>
        <v>0</v>
      </c>
      <c r="G54" s="297">
        <f t="shared" si="0"/>
        <v>277005</v>
      </c>
      <c r="H54" s="297" t="s">
        <v>206</v>
      </c>
      <c r="I54" s="297">
        <f>-G54</f>
        <v>-277005</v>
      </c>
      <c r="J54" s="297">
        <f t="shared" si="1"/>
        <v>0</v>
      </c>
      <c r="K54" s="212"/>
      <c r="L54" s="217"/>
    </row>
    <row r="55" spans="1:12" ht="15.75">
      <c r="A55" s="231" t="s">
        <v>246</v>
      </c>
      <c r="B55" s="232"/>
      <c r="C55" s="297">
        <f>+'DMSB-BS'!C43</f>
        <v>32303204</v>
      </c>
      <c r="D55" s="297">
        <v>0</v>
      </c>
      <c r="E55" s="297">
        <v>0</v>
      </c>
      <c r="F55" s="297">
        <v>0</v>
      </c>
      <c r="G55" s="297">
        <f t="shared" si="0"/>
        <v>32303204</v>
      </c>
      <c r="H55" s="297" t="s">
        <v>206</v>
      </c>
      <c r="I55" s="297">
        <f>-G55</f>
        <v>-32303204</v>
      </c>
      <c r="J55" s="297">
        <f t="shared" si="1"/>
        <v>0</v>
      </c>
      <c r="K55" s="212">
        <f>J55+J54</f>
        <v>0</v>
      </c>
      <c r="L55" s="217"/>
    </row>
    <row r="56" spans="1:12" ht="15.75">
      <c r="A56" s="231" t="s">
        <v>431</v>
      </c>
      <c r="B56" s="232"/>
      <c r="C56" s="297">
        <v>0</v>
      </c>
      <c r="D56" s="297">
        <f>+'DMSB-BS'!F43</f>
        <v>976650</v>
      </c>
      <c r="E56" s="297">
        <f>+'DMSB-BS'!I43</f>
        <v>0</v>
      </c>
      <c r="F56" s="297">
        <f>+'DMSB-BS'!L43</f>
        <v>0</v>
      </c>
      <c r="G56" s="297">
        <f t="shared" si="0"/>
        <v>976650</v>
      </c>
      <c r="H56" s="297"/>
      <c r="I56" s="297">
        <f>-D56</f>
        <v>-976650</v>
      </c>
      <c r="J56" s="297">
        <f t="shared" si="1"/>
        <v>0</v>
      </c>
      <c r="K56" s="212"/>
      <c r="L56" s="217"/>
    </row>
    <row r="57" spans="1:12" ht="15.75">
      <c r="A57" s="226"/>
      <c r="B57" s="227"/>
      <c r="C57" s="299">
        <f>SUM(C48:C56)</f>
        <v>147390763</v>
      </c>
      <c r="D57" s="299">
        <f>SUM(D48:D56)</f>
        <v>55418974</v>
      </c>
      <c r="E57" s="299">
        <f>SUM(E48:E56)</f>
        <v>3825215</v>
      </c>
      <c r="F57" s="299">
        <f>SUM(F48:F56)</f>
        <v>24339865</v>
      </c>
      <c r="G57" s="299">
        <f t="shared" si="0"/>
        <v>230974817</v>
      </c>
      <c r="H57" s="297"/>
      <c r="I57" s="297"/>
      <c r="J57" s="299">
        <f>SUM(J48:J56)</f>
        <v>187417958</v>
      </c>
      <c r="K57" s="212"/>
      <c r="L57" s="217"/>
    </row>
    <row r="58" spans="1:12" ht="15.75">
      <c r="A58" s="226"/>
      <c r="B58" s="227"/>
      <c r="C58" s="297"/>
      <c r="D58" s="297"/>
      <c r="E58" s="297"/>
      <c r="F58" s="297"/>
      <c r="G58" s="300"/>
      <c r="H58" s="300"/>
      <c r="I58" s="300"/>
      <c r="J58" s="300"/>
      <c r="K58" s="212"/>
      <c r="L58" s="237"/>
    </row>
    <row r="59" spans="1:12" ht="15.75">
      <c r="A59" s="226" t="s">
        <v>247</v>
      </c>
      <c r="B59" s="227"/>
      <c r="C59" s="297"/>
      <c r="D59" s="297"/>
      <c r="E59" s="297"/>
      <c r="F59" s="297"/>
      <c r="G59" s="300"/>
      <c r="H59" s="300"/>
      <c r="I59" s="300"/>
      <c r="J59" s="300"/>
      <c r="K59" s="212"/>
      <c r="L59" s="237"/>
    </row>
    <row r="60" spans="1:12" ht="15.75">
      <c r="A60" s="226"/>
      <c r="B60" s="227"/>
      <c r="C60" s="297"/>
      <c r="D60" s="297"/>
      <c r="E60" s="297"/>
      <c r="F60" s="297"/>
      <c r="G60" s="300"/>
      <c r="H60" s="300"/>
      <c r="I60" s="300"/>
      <c r="J60" s="300"/>
      <c r="K60" s="212"/>
      <c r="L60" s="237"/>
    </row>
    <row r="61" spans="1:12" ht="15.75">
      <c r="A61" s="231" t="s">
        <v>432</v>
      </c>
      <c r="B61" s="232">
        <v>5</v>
      </c>
      <c r="C61" s="297">
        <f>+'DMSB-BS'!C82</f>
        <v>0</v>
      </c>
      <c r="D61" s="297">
        <f>-'DMSB-BS'!F82</f>
        <v>835177</v>
      </c>
      <c r="E61" s="297">
        <f>-'DMSB-BS'!I82</f>
        <v>0</v>
      </c>
      <c r="F61" s="297">
        <f>-'DMSB-BS'!L82</f>
        <v>0</v>
      </c>
      <c r="G61" s="297">
        <f aca="true" t="shared" si="2" ref="G61:G68">SUM(C61:F61)</f>
        <v>835177</v>
      </c>
      <c r="H61" s="297"/>
      <c r="I61" s="297"/>
      <c r="J61" s="297">
        <f aca="true" t="shared" si="3" ref="J61:J67">SUM(G61:I61)</f>
        <v>835177</v>
      </c>
      <c r="K61" s="212"/>
      <c r="L61" s="217"/>
    </row>
    <row r="62" spans="1:12" ht="15.75">
      <c r="A62" s="226" t="s">
        <v>249</v>
      </c>
      <c r="B62" s="227"/>
      <c r="C62" s="297">
        <f>-'DMSB-BS'!C88</f>
        <v>52803657</v>
      </c>
      <c r="D62" s="297">
        <f>-'DMSB-BS'!F88</f>
        <v>0</v>
      </c>
      <c r="E62" s="297">
        <f>-'DMSB-BS'!I88</f>
        <v>0</v>
      </c>
      <c r="F62" s="297">
        <f>-'DMSB-BS'!L88</f>
        <v>0</v>
      </c>
      <c r="G62" s="297">
        <f t="shared" si="2"/>
        <v>52803657</v>
      </c>
      <c r="H62" s="297"/>
      <c r="I62" s="297"/>
      <c r="J62" s="297">
        <f t="shared" si="3"/>
        <v>52803657</v>
      </c>
      <c r="K62" s="212"/>
      <c r="L62" s="217"/>
    </row>
    <row r="63" spans="1:12" ht="15.75">
      <c r="A63" s="226" t="s">
        <v>250</v>
      </c>
      <c r="B63" s="227"/>
      <c r="C63" s="297">
        <f>-'DMSB-BS'!C99</f>
        <v>2773522</v>
      </c>
      <c r="D63" s="297">
        <f>-'DMSB-BS'!F99</f>
        <v>27298688</v>
      </c>
      <c r="E63" s="297">
        <f>-'DMSB-BS'!I99</f>
        <v>530931</v>
      </c>
      <c r="F63" s="297">
        <f>-'DMSB-BS'!L99</f>
        <v>300071</v>
      </c>
      <c r="G63" s="297">
        <f t="shared" si="2"/>
        <v>30903212</v>
      </c>
      <c r="H63" s="297"/>
      <c r="I63" s="297"/>
      <c r="J63" s="297">
        <f t="shared" si="3"/>
        <v>30903212</v>
      </c>
      <c r="K63" s="212"/>
      <c r="L63" s="217"/>
    </row>
    <row r="64" spans="1:12" ht="15.75">
      <c r="A64" s="226" t="s">
        <v>21</v>
      </c>
      <c r="B64" s="227"/>
      <c r="C64" s="298">
        <f>-'DMSB-BS'!C111</f>
        <v>1640109</v>
      </c>
      <c r="D64" s="298">
        <f>-'DMSB-BS'!F111</f>
        <v>745566</v>
      </c>
      <c r="E64" s="298">
        <f>-'DMSB-BS'!I111</f>
        <v>16215</v>
      </c>
      <c r="F64" s="298">
        <f>-'DMSB-BS'!L111</f>
        <v>8892</v>
      </c>
      <c r="G64" s="297">
        <f t="shared" si="2"/>
        <v>2410782</v>
      </c>
      <c r="H64" s="297"/>
      <c r="I64" s="297"/>
      <c r="J64" s="297">
        <f t="shared" si="3"/>
        <v>2410782</v>
      </c>
      <c r="K64" s="212"/>
      <c r="L64" s="217"/>
    </row>
    <row r="65" spans="1:12" ht="15.75">
      <c r="A65" s="226" t="s">
        <v>237</v>
      </c>
      <c r="B65" s="227"/>
      <c r="C65" s="297">
        <f>-'DMSB-BS'!C110</f>
        <v>10000000</v>
      </c>
      <c r="D65" s="297">
        <f>-'DMSB-BS'!F110</f>
        <v>10000000</v>
      </c>
      <c r="E65" s="297">
        <f>-'DMSB-BS'!I110</f>
        <v>0</v>
      </c>
      <c r="F65" s="297">
        <f>-'DMSB-BS'!L110</f>
        <v>0</v>
      </c>
      <c r="G65" s="297">
        <f t="shared" si="2"/>
        <v>20000000</v>
      </c>
      <c r="H65" s="297"/>
      <c r="I65" s="297">
        <f>-D65</f>
        <v>-10000000</v>
      </c>
      <c r="J65" s="297">
        <f t="shared" si="3"/>
        <v>10000000</v>
      </c>
      <c r="K65" s="212"/>
      <c r="L65" s="217"/>
    </row>
    <row r="66" spans="1:12" ht="15.75">
      <c r="A66" s="231" t="s">
        <v>433</v>
      </c>
      <c r="B66" s="232"/>
      <c r="C66" s="297">
        <f>-'DMSB-BS'!C105</f>
        <v>277005</v>
      </c>
      <c r="D66" s="297">
        <f>-'DMSB-BS'!F105</f>
        <v>0</v>
      </c>
      <c r="E66" s="297">
        <f>-'DMSB-BS'!I105</f>
        <v>976650</v>
      </c>
      <c r="F66" s="297">
        <f>-'DMSB-BS'!L105</f>
        <v>0</v>
      </c>
      <c r="G66" s="297">
        <f t="shared" si="2"/>
        <v>1253655</v>
      </c>
      <c r="H66" s="297" t="s">
        <v>206</v>
      </c>
      <c r="I66" s="297">
        <f>-G66</f>
        <v>-1253655</v>
      </c>
      <c r="J66" s="297">
        <f t="shared" si="3"/>
        <v>0</v>
      </c>
      <c r="K66" s="212"/>
      <c r="L66" s="217"/>
    </row>
    <row r="67" spans="1:12" ht="15.75">
      <c r="A67" s="226" t="s">
        <v>251</v>
      </c>
      <c r="B67" s="227"/>
      <c r="C67" s="297">
        <f>-'DMSB-BS'!C108</f>
        <v>0</v>
      </c>
      <c r="D67" s="297">
        <f>-'DMSB-BS'!F108</f>
        <v>0</v>
      </c>
      <c r="E67" s="297">
        <f>-'DMSB-BS'!I108</f>
        <v>4445360</v>
      </c>
      <c r="F67" s="297">
        <f>-'DMSB-BS'!L108</f>
        <v>27857844</v>
      </c>
      <c r="G67" s="297">
        <f t="shared" si="2"/>
        <v>32303204</v>
      </c>
      <c r="H67" s="297" t="s">
        <v>206</v>
      </c>
      <c r="I67" s="297">
        <f>-G67</f>
        <v>-32303204</v>
      </c>
      <c r="J67" s="297">
        <f t="shared" si="3"/>
        <v>0</v>
      </c>
      <c r="K67" s="212"/>
      <c r="L67" s="217"/>
    </row>
    <row r="68" spans="1:12" ht="15.75">
      <c r="A68" s="226"/>
      <c r="B68" s="227"/>
      <c r="C68" s="299">
        <f>SUM(C61:C67)</f>
        <v>67494293</v>
      </c>
      <c r="D68" s="299">
        <f>SUM(D61:D67)</f>
        <v>38879431</v>
      </c>
      <c r="E68" s="299">
        <f>SUM(E61:E67)</f>
        <v>5969156</v>
      </c>
      <c r="F68" s="299">
        <f>SUM(F61:F67)</f>
        <v>28166807</v>
      </c>
      <c r="G68" s="299">
        <f t="shared" si="2"/>
        <v>140509687</v>
      </c>
      <c r="H68" s="297"/>
      <c r="I68" s="297"/>
      <c r="J68" s="299">
        <f>SUM(J61:J67)</f>
        <v>96952828</v>
      </c>
      <c r="K68" s="212"/>
      <c r="L68" s="217"/>
    </row>
    <row r="69" spans="1:12" ht="15.75">
      <c r="A69" s="226"/>
      <c r="B69" s="227"/>
      <c r="C69" s="297"/>
      <c r="D69" s="297"/>
      <c r="E69" s="297"/>
      <c r="F69" s="297"/>
      <c r="G69" s="300"/>
      <c r="H69" s="300"/>
      <c r="I69" s="300"/>
      <c r="J69" s="300"/>
      <c r="K69" s="212"/>
      <c r="L69" s="217"/>
    </row>
    <row r="70" spans="1:12" ht="15.75">
      <c r="A70" s="226" t="s">
        <v>254</v>
      </c>
      <c r="B70" s="227"/>
      <c r="C70" s="297">
        <f>C57-C68</f>
        <v>79896470</v>
      </c>
      <c r="D70" s="297">
        <f>D57-D68</f>
        <v>16539543</v>
      </c>
      <c r="E70" s="297">
        <f>E57-E68</f>
        <v>-2143941</v>
      </c>
      <c r="F70" s="297">
        <f>F57-F68</f>
        <v>-3826942</v>
      </c>
      <c r="G70" s="297">
        <f>G57-G68</f>
        <v>90465130</v>
      </c>
      <c r="H70" s="297"/>
      <c r="I70" s="297"/>
      <c r="J70" s="297">
        <f>SUM(J57-J68)</f>
        <v>90465130</v>
      </c>
      <c r="K70" s="212"/>
      <c r="L70" s="217"/>
    </row>
    <row r="71" spans="1:12" ht="15.75">
      <c r="A71" s="226" t="s">
        <v>256</v>
      </c>
      <c r="B71" s="227"/>
      <c r="C71" s="298">
        <f>+'DMSB-BS'!C62</f>
        <v>59869443</v>
      </c>
      <c r="D71" s="298">
        <f>+'DMSB-BS'!F62</f>
        <v>2026253</v>
      </c>
      <c r="E71" s="298">
        <f>+'DMSB-BS'!I62</f>
        <v>16446</v>
      </c>
      <c r="F71" s="298">
        <f>+'DMSB-BS'!L62</f>
        <v>10766</v>
      </c>
      <c r="G71" s="298">
        <f aca="true" t="shared" si="4" ref="G71:G78">SUM(C71:F71)</f>
        <v>61922908</v>
      </c>
      <c r="H71" s="298"/>
      <c r="I71" s="298"/>
      <c r="J71" s="298">
        <f>SUM(G71:I71)</f>
        <v>61922908</v>
      </c>
      <c r="K71" s="212"/>
      <c r="L71" s="217"/>
    </row>
    <row r="72" spans="1:12" ht="15.75">
      <c r="A72" s="226" t="s">
        <v>255</v>
      </c>
      <c r="B72" s="227">
        <v>2</v>
      </c>
      <c r="C72" s="297">
        <v>0</v>
      </c>
      <c r="D72" s="297">
        <v>0</v>
      </c>
      <c r="E72" s="297">
        <f>+'[2]Notes'!D54</f>
        <v>0</v>
      </c>
      <c r="F72" s="297">
        <f>-'DMSB-BS'!L21</f>
        <v>22500000</v>
      </c>
      <c r="G72" s="297">
        <f t="shared" si="4"/>
        <v>22500000</v>
      </c>
      <c r="H72" s="297"/>
      <c r="I72" s="297"/>
      <c r="J72" s="297">
        <f>SUM(G72:I72)</f>
        <v>22500000</v>
      </c>
      <c r="K72" s="212"/>
      <c r="L72" s="217"/>
    </row>
    <row r="73" spans="1:12" ht="15.75">
      <c r="A73" s="226" t="s">
        <v>258</v>
      </c>
      <c r="B73" s="227"/>
      <c r="C73" s="297">
        <f>+'DMSB-BS'!C71</f>
        <v>7000000</v>
      </c>
      <c r="D73" s="297">
        <v>0</v>
      </c>
      <c r="E73" s="297">
        <v>0</v>
      </c>
      <c r="F73" s="297">
        <v>0</v>
      </c>
      <c r="G73" s="297">
        <f t="shared" si="4"/>
        <v>7000000</v>
      </c>
      <c r="H73" s="297"/>
      <c r="I73" s="297"/>
      <c r="J73" s="297">
        <f>SUM(G73:I73)</f>
        <v>7000000</v>
      </c>
      <c r="K73" s="212"/>
      <c r="L73" s="217"/>
    </row>
    <row r="74" spans="1:12" ht="15.75">
      <c r="A74" s="226" t="s">
        <v>259</v>
      </c>
      <c r="B74" s="227"/>
      <c r="C74" s="297">
        <f>+'DMSB-BS'!C68</f>
        <v>17400000</v>
      </c>
      <c r="D74" s="297">
        <v>0</v>
      </c>
      <c r="E74" s="297">
        <v>0</v>
      </c>
      <c r="F74" s="297">
        <v>0</v>
      </c>
      <c r="G74" s="297">
        <f t="shared" si="4"/>
        <v>17400000</v>
      </c>
      <c r="H74" s="297" t="s">
        <v>204</v>
      </c>
      <c r="I74" s="297">
        <f>-G74</f>
        <v>-17400000</v>
      </c>
      <c r="J74" s="297">
        <f>SUM(G74:I74)</f>
        <v>0</v>
      </c>
      <c r="K74" s="212"/>
      <c r="L74" s="217"/>
    </row>
    <row r="75" spans="1:12" ht="15.75">
      <c r="A75" s="226" t="s">
        <v>261</v>
      </c>
      <c r="B75" s="227">
        <v>6</v>
      </c>
      <c r="C75" s="297">
        <f>+'DMSB-BS'!C113</f>
        <v>-30000000</v>
      </c>
      <c r="D75" s="297">
        <f>+'[2]Notes'!C86</f>
        <v>0</v>
      </c>
      <c r="E75" s="297">
        <f>+'[2]Notes'!D86</f>
        <v>0</v>
      </c>
      <c r="F75" s="297">
        <f>+'[2]Notes'!E86</f>
        <v>0</v>
      </c>
      <c r="G75" s="297">
        <f t="shared" si="4"/>
        <v>-30000000</v>
      </c>
      <c r="H75" s="297"/>
      <c r="I75" s="297"/>
      <c r="J75" s="297">
        <f>SUM(G75:I75)</f>
        <v>-30000000</v>
      </c>
      <c r="K75" s="212"/>
      <c r="L75" s="217"/>
    </row>
    <row r="76" spans="1:12" ht="15.75">
      <c r="A76" s="226" t="s">
        <v>263</v>
      </c>
      <c r="B76" s="227">
        <v>7</v>
      </c>
      <c r="C76" s="297">
        <v>0</v>
      </c>
      <c r="D76" s="297">
        <v>0</v>
      </c>
      <c r="E76" s="297">
        <v>0</v>
      </c>
      <c r="F76" s="297">
        <v>0</v>
      </c>
      <c r="G76" s="297">
        <f t="shared" si="4"/>
        <v>0</v>
      </c>
      <c r="H76" s="297"/>
      <c r="I76" s="297"/>
      <c r="J76" s="297">
        <f>SUM(G76)</f>
        <v>0</v>
      </c>
      <c r="K76" s="212"/>
      <c r="L76" s="217"/>
    </row>
    <row r="77" spans="1:12" ht="15.75">
      <c r="A77" s="226" t="s">
        <v>262</v>
      </c>
      <c r="B77" s="227"/>
      <c r="C77" s="297">
        <v>0</v>
      </c>
      <c r="D77" s="297">
        <v>0</v>
      </c>
      <c r="E77" s="297">
        <v>0</v>
      </c>
      <c r="F77" s="297">
        <v>0</v>
      </c>
      <c r="G77" s="297">
        <f t="shared" si="4"/>
        <v>0</v>
      </c>
      <c r="H77" s="297"/>
      <c r="I77" s="297"/>
      <c r="J77" s="297">
        <f>SUM(G77:I77)</f>
        <v>0</v>
      </c>
      <c r="K77" s="212"/>
      <c r="L77" s="217"/>
    </row>
    <row r="78" spans="1:12" ht="16.5" thickBot="1">
      <c r="A78" s="226"/>
      <c r="B78" s="227"/>
      <c r="C78" s="301">
        <f>SUM(C70:C77)</f>
        <v>134165913</v>
      </c>
      <c r="D78" s="301">
        <f>SUM(D70:D77)</f>
        <v>18565796</v>
      </c>
      <c r="E78" s="301">
        <f>SUM(E70:E77)</f>
        <v>-2127495</v>
      </c>
      <c r="F78" s="301">
        <f>SUM(F70:F77)</f>
        <v>18683824</v>
      </c>
      <c r="G78" s="301">
        <f t="shared" si="4"/>
        <v>169288038</v>
      </c>
      <c r="H78" s="297"/>
      <c r="I78" s="297"/>
      <c r="J78" s="301">
        <f>SUM(J70:J77)</f>
        <v>151888038</v>
      </c>
      <c r="K78" s="212"/>
      <c r="L78" s="217"/>
    </row>
    <row r="79" spans="1:12" ht="16.5" thickTop="1">
      <c r="A79" s="226"/>
      <c r="B79" s="227"/>
      <c r="C79" s="297"/>
      <c r="D79" s="302"/>
      <c r="E79" s="300"/>
      <c r="F79" s="300"/>
      <c r="G79" s="300"/>
      <c r="H79" s="300"/>
      <c r="I79" s="300"/>
      <c r="J79" s="300"/>
      <c r="K79" s="212"/>
      <c r="L79" s="217"/>
    </row>
    <row r="80" spans="1:12" ht="15.75">
      <c r="A80" s="226" t="s">
        <v>266</v>
      </c>
      <c r="B80" s="227"/>
      <c r="C80" s="297"/>
      <c r="D80" s="302"/>
      <c r="E80" s="300"/>
      <c r="F80" s="300"/>
      <c r="G80" s="300"/>
      <c r="H80" s="300"/>
      <c r="I80" s="300"/>
      <c r="J80" s="300"/>
      <c r="K80" s="212"/>
      <c r="L80" s="217"/>
    </row>
    <row r="81" spans="1:12" ht="15.75">
      <c r="A81" s="226"/>
      <c r="B81" s="227"/>
      <c r="C81" s="303"/>
      <c r="D81" s="302"/>
      <c r="E81" s="300"/>
      <c r="F81" s="300"/>
      <c r="G81" s="300"/>
      <c r="H81" s="300"/>
      <c r="I81" s="300"/>
      <c r="J81" s="300"/>
      <c r="K81" s="212"/>
      <c r="L81" s="217"/>
    </row>
    <row r="82" spans="1:12" ht="15.75">
      <c r="A82" s="226" t="s">
        <v>267</v>
      </c>
      <c r="B82" s="227"/>
      <c r="C82" s="297">
        <v>20000000</v>
      </c>
      <c r="D82" s="302">
        <v>2000000</v>
      </c>
      <c r="E82" s="297">
        <v>400000</v>
      </c>
      <c r="F82" s="300">
        <v>15000000</v>
      </c>
      <c r="G82" s="297">
        <f>SUM(C82:F82)</f>
        <v>37400000</v>
      </c>
      <c r="H82" s="297" t="s">
        <v>204</v>
      </c>
      <c r="I82" s="297">
        <f>-D82-E82-F82</f>
        <v>-17400000</v>
      </c>
      <c r="J82" s="297">
        <f>SUM(G82:I82)</f>
        <v>20000000</v>
      </c>
      <c r="K82" s="212"/>
      <c r="L82" s="217"/>
    </row>
    <row r="83" spans="1:12" ht="15.75">
      <c r="A83" s="226" t="s">
        <v>273</v>
      </c>
      <c r="B83" s="227"/>
      <c r="C83" s="297">
        <f>+C29</f>
        <v>114165913</v>
      </c>
      <c r="D83" s="297">
        <f>+D29</f>
        <v>16565796</v>
      </c>
      <c r="E83" s="297">
        <f>+E29</f>
        <v>-2527495</v>
      </c>
      <c r="F83" s="297">
        <f>+F29</f>
        <v>3683824</v>
      </c>
      <c r="G83" s="297">
        <f>SUM(C83:F83)</f>
        <v>131888038</v>
      </c>
      <c r="H83" s="297"/>
      <c r="I83" s="297"/>
      <c r="J83" s="304">
        <f>+G83+I83</f>
        <v>131888038</v>
      </c>
      <c r="K83" s="212"/>
      <c r="L83" s="217"/>
    </row>
    <row r="84" spans="1:12" ht="16.5" thickBot="1">
      <c r="A84" s="226"/>
      <c r="B84" s="227"/>
      <c r="C84" s="301">
        <f aca="true" t="shared" si="5" ref="C84:J84">SUM(C82:C83)</f>
        <v>134165913</v>
      </c>
      <c r="D84" s="301">
        <f t="shared" si="5"/>
        <v>18565796</v>
      </c>
      <c r="E84" s="301">
        <f t="shared" si="5"/>
        <v>-2127495</v>
      </c>
      <c r="F84" s="301">
        <f t="shared" si="5"/>
        <v>18683824</v>
      </c>
      <c r="G84" s="301">
        <f t="shared" si="5"/>
        <v>169288038</v>
      </c>
      <c r="H84" s="297"/>
      <c r="I84" s="297"/>
      <c r="J84" s="301">
        <f t="shared" si="5"/>
        <v>151888038</v>
      </c>
      <c r="K84" s="212"/>
      <c r="L84" s="217"/>
    </row>
    <row r="85" spans="1:12" ht="15.75" thickTop="1">
      <c r="A85" s="226"/>
      <c r="B85" s="227"/>
      <c r="C85" s="217"/>
      <c r="D85" s="228"/>
      <c r="E85" s="212"/>
      <c r="F85" s="212"/>
      <c r="G85" s="212"/>
      <c r="H85" s="212"/>
      <c r="I85" s="212"/>
      <c r="J85" s="212"/>
      <c r="K85" s="212"/>
      <c r="L85" s="237"/>
    </row>
    <row r="86" spans="1:12" ht="15">
      <c r="A86" s="226" t="s">
        <v>177</v>
      </c>
      <c r="B86" s="227"/>
      <c r="C86" s="217">
        <f aca="true" t="shared" si="6" ref="C86:J86">+C78-C84</f>
        <v>0</v>
      </c>
      <c r="D86" s="217">
        <f t="shared" si="6"/>
        <v>0</v>
      </c>
      <c r="E86" s="217">
        <f t="shared" si="6"/>
        <v>0</v>
      </c>
      <c r="F86" s="217">
        <f t="shared" si="6"/>
        <v>0</v>
      </c>
      <c r="G86" s="217">
        <f t="shared" si="6"/>
        <v>0</v>
      </c>
      <c r="H86" s="217"/>
      <c r="I86" s="217"/>
      <c r="J86" s="217">
        <f t="shared" si="6"/>
        <v>0</v>
      </c>
      <c r="K86" s="212"/>
      <c r="L86" s="217"/>
    </row>
    <row r="87" spans="1:12" ht="15">
      <c r="A87" s="212"/>
      <c r="B87" s="213"/>
      <c r="C87" s="212"/>
      <c r="D87" s="212"/>
      <c r="E87" s="212"/>
      <c r="F87" s="212"/>
      <c r="G87" s="212"/>
      <c r="H87" s="212"/>
      <c r="I87" s="212"/>
      <c r="J87" s="212"/>
      <c r="K87" s="212"/>
      <c r="L87" s="237"/>
    </row>
    <row r="88" spans="1:12" ht="15">
      <c r="A88" s="212"/>
      <c r="B88" s="213"/>
      <c r="C88" s="212"/>
      <c r="D88" s="212"/>
      <c r="E88" s="212"/>
      <c r="F88" s="212"/>
      <c r="G88" s="212"/>
      <c r="H88" s="212"/>
      <c r="I88" s="212"/>
      <c r="J88" s="212"/>
      <c r="K88" s="212"/>
      <c r="L88" s="237"/>
    </row>
    <row r="89" spans="1:12" ht="15">
      <c r="A89" s="212"/>
      <c r="B89" s="213"/>
      <c r="C89" s="212"/>
      <c r="D89" s="212"/>
      <c r="E89" s="212"/>
      <c r="F89" s="212"/>
      <c r="G89" s="212"/>
      <c r="H89" s="212"/>
      <c r="I89" s="212"/>
      <c r="J89" s="212"/>
      <c r="K89" s="212"/>
      <c r="L89" s="237"/>
    </row>
    <row r="90" spans="1:12" ht="15">
      <c r="A90" s="212"/>
      <c r="B90" s="213"/>
      <c r="C90" s="212"/>
      <c r="D90" s="212"/>
      <c r="E90" s="212"/>
      <c r="F90" s="212"/>
      <c r="G90" s="212"/>
      <c r="H90" s="212"/>
      <c r="I90" s="212"/>
      <c r="J90" s="212"/>
      <c r="K90" s="212"/>
      <c r="L90" s="237"/>
    </row>
    <row r="91" spans="1:12" ht="15">
      <c r="A91" s="212"/>
      <c r="B91" s="213"/>
      <c r="C91" s="212"/>
      <c r="D91" s="212"/>
      <c r="E91" s="212"/>
      <c r="F91" s="212"/>
      <c r="G91" s="212"/>
      <c r="H91" s="212"/>
      <c r="I91" s="212"/>
      <c r="J91" s="212"/>
      <c r="K91" s="212"/>
      <c r="L91" s="237"/>
    </row>
    <row r="92" spans="1:12" ht="15">
      <c r="A92" s="212"/>
      <c r="B92" s="213"/>
      <c r="C92" s="212"/>
      <c r="D92" s="212"/>
      <c r="E92" s="212"/>
      <c r="F92" s="212"/>
      <c r="G92" s="212"/>
      <c r="H92" s="212"/>
      <c r="I92" s="212"/>
      <c r="J92" s="212"/>
      <c r="K92" s="212"/>
      <c r="L92" s="237"/>
    </row>
    <row r="93" spans="1:12" ht="15">
      <c r="A93" s="212"/>
      <c r="B93" s="213"/>
      <c r="C93" s="212"/>
      <c r="D93" s="212"/>
      <c r="E93" s="212"/>
      <c r="F93" s="212"/>
      <c r="G93" s="212"/>
      <c r="H93" s="212"/>
      <c r="I93" s="212"/>
      <c r="J93" s="212"/>
      <c r="K93" s="212"/>
      <c r="L93" s="237"/>
    </row>
    <row r="94" spans="1:12" ht="15">
      <c r="A94" s="212"/>
      <c r="B94" s="213"/>
      <c r="C94" s="212"/>
      <c r="D94" s="212"/>
      <c r="E94" s="212"/>
      <c r="F94" s="212"/>
      <c r="G94" s="212"/>
      <c r="H94" s="212"/>
      <c r="I94" s="212"/>
      <c r="J94" s="212"/>
      <c r="K94" s="212"/>
      <c r="L94" s="237"/>
    </row>
    <row r="95" spans="1:12" ht="15">
      <c r="A95" s="212"/>
      <c r="B95" s="213"/>
      <c r="C95" s="212"/>
      <c r="D95" s="212"/>
      <c r="E95" s="212"/>
      <c r="F95" s="212"/>
      <c r="G95" s="212"/>
      <c r="H95" s="212"/>
      <c r="I95" s="212"/>
      <c r="J95" s="212"/>
      <c r="K95" s="212"/>
      <c r="L95" s="237"/>
    </row>
    <row r="96" spans="1:12" ht="15">
      <c r="A96" s="212"/>
      <c r="B96" s="213"/>
      <c r="C96" s="212"/>
      <c r="D96" s="212"/>
      <c r="E96" s="212"/>
      <c r="F96" s="212"/>
      <c r="G96" s="212"/>
      <c r="H96" s="212"/>
      <c r="I96" s="212"/>
      <c r="J96" s="212"/>
      <c r="K96" s="212"/>
      <c r="L96" s="237"/>
    </row>
    <row r="97" spans="1:12" ht="15">
      <c r="A97" s="212"/>
      <c r="B97" s="213"/>
      <c r="C97" s="212"/>
      <c r="D97" s="212"/>
      <c r="E97" s="212"/>
      <c r="F97" s="212"/>
      <c r="G97" s="212"/>
      <c r="H97" s="212"/>
      <c r="I97" s="212"/>
      <c r="J97" s="212"/>
      <c r="K97" s="212"/>
      <c r="L97" s="237"/>
    </row>
    <row r="98" spans="1:12" ht="15">
      <c r="A98" s="212"/>
      <c r="B98" s="213"/>
      <c r="C98" s="212"/>
      <c r="D98" s="212"/>
      <c r="E98" s="212"/>
      <c r="F98" s="212"/>
      <c r="G98" s="212"/>
      <c r="H98" s="212"/>
      <c r="I98" s="212"/>
      <c r="J98" s="212"/>
      <c r="K98" s="212"/>
      <c r="L98" s="237"/>
    </row>
    <row r="99" spans="1:12" ht="15">
      <c r="A99" s="212"/>
      <c r="B99" s="213"/>
      <c r="C99" s="212"/>
      <c r="D99" s="212"/>
      <c r="E99" s="212"/>
      <c r="F99" s="212"/>
      <c r="G99" s="212"/>
      <c r="H99" s="212"/>
      <c r="I99" s="212"/>
      <c r="J99" s="212"/>
      <c r="K99" s="212"/>
      <c r="L99" s="237"/>
    </row>
    <row r="100" spans="1:12" ht="15">
      <c r="A100" s="212"/>
      <c r="B100" s="213"/>
      <c r="C100" s="212"/>
      <c r="D100" s="212"/>
      <c r="E100" s="212"/>
      <c r="F100" s="212"/>
      <c r="G100" s="212"/>
      <c r="H100" s="212"/>
      <c r="I100" s="212"/>
      <c r="J100" s="212"/>
      <c r="K100" s="212"/>
      <c r="L100" s="237"/>
    </row>
    <row r="101" spans="1:12" ht="15">
      <c r="A101" s="212"/>
      <c r="B101" s="213"/>
      <c r="C101" s="212"/>
      <c r="D101" s="212"/>
      <c r="E101" s="212"/>
      <c r="F101" s="212"/>
      <c r="G101" s="212"/>
      <c r="H101" s="212"/>
      <c r="I101" s="212"/>
      <c r="J101" s="212"/>
      <c r="K101" s="212"/>
      <c r="L101" s="237"/>
    </row>
    <row r="102" spans="1:12" ht="15">
      <c r="A102" s="212"/>
      <c r="B102" s="213"/>
      <c r="C102" s="212"/>
      <c r="D102" s="212"/>
      <c r="E102" s="212"/>
      <c r="F102" s="212"/>
      <c r="G102" s="212"/>
      <c r="H102" s="212"/>
      <c r="I102" s="212"/>
      <c r="J102" s="212"/>
      <c r="K102" s="212"/>
      <c r="L102" s="237"/>
    </row>
    <row r="103" spans="1:12" ht="15">
      <c r="A103" s="212"/>
      <c r="B103" s="213"/>
      <c r="C103" s="212"/>
      <c r="D103" s="212"/>
      <c r="E103" s="212"/>
      <c r="F103" s="212"/>
      <c r="G103" s="212"/>
      <c r="H103" s="212"/>
      <c r="I103" s="212"/>
      <c r="J103" s="212"/>
      <c r="K103" s="212"/>
      <c r="L103" s="237"/>
    </row>
    <row r="104" spans="1:12" ht="15">
      <c r="A104" s="212"/>
      <c r="B104" s="213"/>
      <c r="C104" s="212"/>
      <c r="D104" s="212"/>
      <c r="E104" s="212"/>
      <c r="F104" s="212"/>
      <c r="G104" s="212"/>
      <c r="H104" s="212"/>
      <c r="I104" s="212"/>
      <c r="J104" s="212"/>
      <c r="K104" s="212"/>
      <c r="L104" s="237"/>
    </row>
    <row r="105" spans="1:12" ht="15">
      <c r="A105" s="212"/>
      <c r="B105" s="213"/>
      <c r="C105" s="212"/>
      <c r="D105" s="212"/>
      <c r="E105" s="212"/>
      <c r="F105" s="212"/>
      <c r="G105" s="212"/>
      <c r="H105" s="212"/>
      <c r="I105" s="212"/>
      <c r="J105" s="212"/>
      <c r="K105" s="212"/>
      <c r="L105" s="237"/>
    </row>
    <row r="106" spans="1:12" ht="15">
      <c r="A106" s="212"/>
      <c r="B106" s="213"/>
      <c r="C106" s="212"/>
      <c r="D106" s="212"/>
      <c r="E106" s="212"/>
      <c r="F106" s="212"/>
      <c r="G106" s="212"/>
      <c r="H106" s="212"/>
      <c r="I106" s="212"/>
      <c r="J106" s="212"/>
      <c r="K106" s="212"/>
      <c r="L106" s="237"/>
    </row>
    <row r="107" spans="1:12" ht="15">
      <c r="A107" s="212"/>
      <c r="B107" s="213"/>
      <c r="C107" s="212"/>
      <c r="D107" s="212"/>
      <c r="E107" s="212"/>
      <c r="F107" s="212"/>
      <c r="G107" s="212"/>
      <c r="H107" s="212"/>
      <c r="I107" s="212"/>
      <c r="J107" s="212"/>
      <c r="K107" s="212"/>
      <c r="L107" s="237"/>
    </row>
    <row r="108" ht="15">
      <c r="L108" s="265"/>
    </row>
    <row r="109" ht="15">
      <c r="L109" s="265"/>
    </row>
    <row r="110" ht="15">
      <c r="L110" s="265"/>
    </row>
    <row r="111" ht="15">
      <c r="L111" s="265"/>
    </row>
    <row r="112" ht="15">
      <c r="L112" s="265"/>
    </row>
    <row r="113" ht="15">
      <c r="L113" s="265"/>
    </row>
    <row r="114" ht="15">
      <c r="L114" s="265"/>
    </row>
    <row r="115" ht="15">
      <c r="L115" s="265"/>
    </row>
    <row r="116" ht="15">
      <c r="L116" s="265"/>
    </row>
    <row r="117" ht="15">
      <c r="L117" s="265"/>
    </row>
    <row r="118" ht="15">
      <c r="L118" s="265"/>
    </row>
    <row r="119" ht="15">
      <c r="L119" s="265"/>
    </row>
    <row r="120" ht="15">
      <c r="L120" s="265"/>
    </row>
    <row r="121" ht="15">
      <c r="L121" s="265"/>
    </row>
    <row r="122" ht="15">
      <c r="L122" s="265"/>
    </row>
    <row r="123" ht="15">
      <c r="L123" s="265"/>
    </row>
    <row r="124" ht="15">
      <c r="L124" s="265"/>
    </row>
    <row r="125" ht="15">
      <c r="L125" s="265"/>
    </row>
    <row r="126" ht="15">
      <c r="L126" s="265"/>
    </row>
    <row r="127" ht="15">
      <c r="L127" s="265"/>
    </row>
    <row r="128" ht="15">
      <c r="L128" s="265"/>
    </row>
    <row r="129" ht="15">
      <c r="L129" s="265"/>
    </row>
    <row r="130" ht="15">
      <c r="L130" s="265"/>
    </row>
    <row r="131" ht="15">
      <c r="L131" s="265"/>
    </row>
    <row r="132" ht="15">
      <c r="L132" s="265"/>
    </row>
    <row r="133" ht="15">
      <c r="L133" s="265"/>
    </row>
    <row r="134" ht="15">
      <c r="L134" s="265"/>
    </row>
    <row r="135" ht="15">
      <c r="L135" s="265"/>
    </row>
    <row r="136" ht="15">
      <c r="L136" s="265"/>
    </row>
    <row r="137" ht="15">
      <c r="L137" s="265"/>
    </row>
    <row r="138" ht="15">
      <c r="L138" s="265"/>
    </row>
    <row r="139" ht="15">
      <c r="L139" s="265"/>
    </row>
    <row r="140" ht="15">
      <c r="L140" s="265"/>
    </row>
    <row r="141" ht="15">
      <c r="L141" s="265"/>
    </row>
    <row r="142" ht="15">
      <c r="L142" s="265"/>
    </row>
    <row r="143" ht="15">
      <c r="L143" s="265"/>
    </row>
    <row r="144" ht="15">
      <c r="L144" s="265"/>
    </row>
    <row r="145" ht="15">
      <c r="L145" s="265"/>
    </row>
    <row r="146" ht="15">
      <c r="L146" s="265"/>
    </row>
    <row r="147" ht="15">
      <c r="L147" s="265"/>
    </row>
    <row r="148" ht="15">
      <c r="L148" s="265"/>
    </row>
    <row r="149" ht="15">
      <c r="L149" s="265"/>
    </row>
  </sheetData>
  <printOptions/>
  <pageMargins left="0.75" right="0.75" top="1" bottom="1" header="0.5" footer="0.5"/>
  <pageSetup horizontalDpi="300" verticalDpi="300" orientation="landscape" scale="75" r:id="rId1"/>
  <headerFooter alignWithMargins="0">
    <oddHeader>&amp;L&amp;"Arial,Bold"DAIHATSU MALAYSIA SDN.BHD
AS AT 31st MARCH 2000
Consolidated Balance Sheet</oddHeader>
  </headerFooter>
</worksheet>
</file>

<file path=xl/worksheets/sheet13.xml><?xml version="1.0" encoding="utf-8"?>
<worksheet xmlns="http://schemas.openxmlformats.org/spreadsheetml/2006/main" xmlns:r="http://schemas.openxmlformats.org/officeDocument/2006/relationships">
  <dimension ref="B1:P126"/>
  <sheetViews>
    <sheetView zoomScale="75" zoomScaleNormal="75" workbookViewId="0" topLeftCell="C108">
      <selection activeCell="L123" sqref="L123"/>
    </sheetView>
  </sheetViews>
  <sheetFormatPr defaultColWidth="9.140625" defaultRowHeight="12.75"/>
  <cols>
    <col min="1" max="1" width="4.28125" style="0" customWidth="1"/>
    <col min="2" max="2" width="25.57421875" style="0" customWidth="1"/>
    <col min="3" max="3" width="16.7109375" style="0" customWidth="1"/>
    <col min="4" max="4" width="4.00390625" style="0" customWidth="1"/>
    <col min="5" max="5" width="25.28125" style="0" customWidth="1"/>
    <col min="6" max="6" width="16.421875" style="0" customWidth="1"/>
    <col min="7" max="7" width="4.421875" style="0" customWidth="1"/>
    <col min="8" max="8" width="28.140625" style="0" customWidth="1"/>
    <col min="9" max="9" width="14.7109375" style="0" customWidth="1"/>
    <col min="10" max="10" width="5.00390625" style="0" customWidth="1"/>
    <col min="11" max="11" width="28.8515625" style="0" customWidth="1"/>
    <col min="12" max="12" width="16.28125" style="0" customWidth="1"/>
  </cols>
  <sheetData>
    <row r="1" ht="12.75">
      <c r="B1" s="4" t="s">
        <v>442</v>
      </c>
    </row>
    <row r="2" ht="12.75">
      <c r="B2" s="4" t="s">
        <v>394</v>
      </c>
    </row>
    <row r="3" ht="12.75">
      <c r="B3" s="4" t="s">
        <v>443</v>
      </c>
    </row>
    <row r="5" spans="2:3" ht="12.75">
      <c r="B5" s="146" t="s">
        <v>239</v>
      </c>
      <c r="C5" s="28"/>
    </row>
    <row r="6" spans="3:12" ht="12.75">
      <c r="C6" s="15" t="s">
        <v>444</v>
      </c>
      <c r="D6" s="4"/>
      <c r="E6" s="4"/>
      <c r="F6" s="15" t="s">
        <v>424</v>
      </c>
      <c r="I6" s="15" t="s">
        <v>425</v>
      </c>
      <c r="L6" s="15" t="s">
        <v>426</v>
      </c>
    </row>
    <row r="7" spans="2:11" ht="12.75">
      <c r="B7" s="4" t="s">
        <v>445</v>
      </c>
      <c r="E7" s="4" t="s">
        <v>445</v>
      </c>
      <c r="H7" s="4" t="s">
        <v>445</v>
      </c>
      <c r="K7" s="4" t="s">
        <v>445</v>
      </c>
    </row>
    <row r="8" spans="2:12" ht="12.75">
      <c r="B8" s="165" t="s">
        <v>446</v>
      </c>
      <c r="C8" s="242">
        <v>0</v>
      </c>
      <c r="E8" s="165" t="s">
        <v>446</v>
      </c>
      <c r="F8" s="242">
        <v>0</v>
      </c>
      <c r="H8" s="165" t="s">
        <v>446</v>
      </c>
      <c r="I8" s="242">
        <v>0</v>
      </c>
      <c r="K8" s="165" t="s">
        <v>446</v>
      </c>
      <c r="L8" s="242">
        <v>0</v>
      </c>
    </row>
    <row r="9" spans="2:12" ht="12.75">
      <c r="B9" s="152" t="s">
        <v>447</v>
      </c>
      <c r="C9" s="243">
        <v>0</v>
      </c>
      <c r="E9" s="152" t="s">
        <v>447</v>
      </c>
      <c r="F9" s="243">
        <v>0</v>
      </c>
      <c r="H9" s="152" t="s">
        <v>447</v>
      </c>
      <c r="I9" s="243">
        <v>0</v>
      </c>
      <c r="K9" s="152" t="s">
        <v>447</v>
      </c>
      <c r="L9" s="243">
        <v>0</v>
      </c>
    </row>
    <row r="10" spans="2:12" ht="12.75">
      <c r="B10" s="152" t="s">
        <v>448</v>
      </c>
      <c r="C10" s="243">
        <v>28491080</v>
      </c>
      <c r="E10" s="152" t="s">
        <v>448</v>
      </c>
      <c r="F10" s="243">
        <v>18954958</v>
      </c>
      <c r="H10" s="152" t="s">
        <v>448</v>
      </c>
      <c r="I10" s="243">
        <v>176872</v>
      </c>
      <c r="K10" s="152" t="s">
        <v>448</v>
      </c>
      <c r="L10" s="243">
        <v>4144731</v>
      </c>
    </row>
    <row r="11" spans="2:12" ht="12.75">
      <c r="B11" s="152" t="s">
        <v>449</v>
      </c>
      <c r="C11" s="243">
        <v>28700</v>
      </c>
      <c r="E11" s="152" t="s">
        <v>449</v>
      </c>
      <c r="F11" s="243">
        <v>9500</v>
      </c>
      <c r="H11" s="152" t="s">
        <v>449</v>
      </c>
      <c r="I11" s="243">
        <v>4300</v>
      </c>
      <c r="K11" s="152" t="s">
        <v>449</v>
      </c>
      <c r="L11" s="243">
        <v>200</v>
      </c>
    </row>
    <row r="12" spans="2:12" ht="12.75">
      <c r="B12" s="152" t="s">
        <v>450</v>
      </c>
      <c r="C12" s="243">
        <v>4000000</v>
      </c>
      <c r="E12" s="152" t="s">
        <v>450</v>
      </c>
      <c r="F12" s="243">
        <v>0</v>
      </c>
      <c r="H12" s="152" t="s">
        <v>450</v>
      </c>
      <c r="I12" s="243">
        <v>0</v>
      </c>
      <c r="K12" s="152" t="s">
        <v>450</v>
      </c>
      <c r="L12" s="243">
        <v>0</v>
      </c>
    </row>
    <row r="13" spans="2:12" ht="12.75">
      <c r="B13" s="159" t="s">
        <v>451</v>
      </c>
      <c r="C13" s="244">
        <v>22500000</v>
      </c>
      <c r="E13" s="159" t="s">
        <v>451</v>
      </c>
      <c r="F13" s="244">
        <v>16210000</v>
      </c>
      <c r="H13" s="159" t="s">
        <v>451</v>
      </c>
      <c r="I13" s="244">
        <v>0</v>
      </c>
      <c r="K13" s="159" t="s">
        <v>451</v>
      </c>
      <c r="L13" s="244">
        <v>0</v>
      </c>
    </row>
    <row r="14" spans="2:12" ht="12.75">
      <c r="B14" s="16"/>
      <c r="C14" s="245">
        <f>SUM(C8:C13)</f>
        <v>55019780</v>
      </c>
      <c r="E14" s="16"/>
      <c r="F14" s="245">
        <f>SUM(F8:F13)</f>
        <v>35174458</v>
      </c>
      <c r="H14" s="16"/>
      <c r="I14" s="245">
        <f>SUM(I8:I13)</f>
        <v>181172</v>
      </c>
      <c r="K14" s="16"/>
      <c r="L14" s="245">
        <f>SUM(L8:L13)</f>
        <v>4144931</v>
      </c>
    </row>
    <row r="15" spans="2:12" ht="12.75">
      <c r="B15" s="246" t="s">
        <v>43</v>
      </c>
      <c r="C15" s="245"/>
      <c r="E15" s="246" t="s">
        <v>43</v>
      </c>
      <c r="F15" s="245"/>
      <c r="H15" s="246" t="s">
        <v>43</v>
      </c>
      <c r="I15" s="245"/>
      <c r="K15" s="246" t="s">
        <v>528</v>
      </c>
      <c r="L15" s="247"/>
    </row>
    <row r="16" spans="2:12" ht="12.75">
      <c r="B16" s="165" t="s">
        <v>452</v>
      </c>
      <c r="C16" s="242">
        <v>13623858</v>
      </c>
      <c r="E16" s="165" t="s">
        <v>452</v>
      </c>
      <c r="F16" s="242">
        <v>11963762</v>
      </c>
      <c r="H16" s="165" t="s">
        <v>452</v>
      </c>
      <c r="I16" s="242">
        <v>1504525</v>
      </c>
      <c r="K16" s="165" t="s">
        <v>43</v>
      </c>
      <c r="L16" s="242">
        <f>42050227+10971483</f>
        <v>53021710</v>
      </c>
    </row>
    <row r="17" spans="2:12" ht="12.75">
      <c r="B17" s="159" t="s">
        <v>453</v>
      </c>
      <c r="C17" s="244">
        <v>-432926</v>
      </c>
      <c r="E17" s="159" t="s">
        <v>453</v>
      </c>
      <c r="F17" s="244">
        <v>0</v>
      </c>
      <c r="H17" s="159" t="s">
        <v>453</v>
      </c>
      <c r="I17" s="244">
        <v>0</v>
      </c>
      <c r="K17" s="152" t="s">
        <v>529</v>
      </c>
      <c r="L17" s="244">
        <v>-8563207</v>
      </c>
    </row>
    <row r="18" spans="3:12" ht="12.75">
      <c r="C18" s="245">
        <f>SUM(C16:C17)</f>
        <v>13190932</v>
      </c>
      <c r="F18" s="245">
        <f>SUM(F16:F17)</f>
        <v>11963762</v>
      </c>
      <c r="I18" s="245">
        <f>SUM(I16:I17)</f>
        <v>1504525</v>
      </c>
      <c r="K18" s="152"/>
      <c r="L18" s="243">
        <f>SUM(L16:L17)</f>
        <v>44458503</v>
      </c>
    </row>
    <row r="19" spans="2:12" ht="12.75">
      <c r="B19" s="4" t="s">
        <v>42</v>
      </c>
      <c r="C19" s="245"/>
      <c r="E19" s="4" t="s">
        <v>42</v>
      </c>
      <c r="F19" s="245"/>
      <c r="H19" s="4" t="s">
        <v>42</v>
      </c>
      <c r="I19" s="245"/>
      <c r="K19" s="263" t="s">
        <v>453</v>
      </c>
      <c r="L19" s="244">
        <f>-2785926-460427</f>
        <v>-3246353</v>
      </c>
    </row>
    <row r="20" spans="2:12" ht="12.75">
      <c r="B20" s="165" t="s">
        <v>454</v>
      </c>
      <c r="C20" s="242">
        <v>0</v>
      </c>
      <c r="E20" s="165" t="s">
        <v>454</v>
      </c>
      <c r="F20" s="242">
        <v>0</v>
      </c>
      <c r="H20" s="165" t="s">
        <v>454</v>
      </c>
      <c r="I20" s="242">
        <v>0</v>
      </c>
      <c r="K20" s="152"/>
      <c r="L20" s="249">
        <f>SUM(L18:L19)</f>
        <v>41212150</v>
      </c>
    </row>
    <row r="21" spans="2:12" ht="12.75">
      <c r="B21" s="152" t="s">
        <v>455</v>
      </c>
      <c r="C21" s="243">
        <v>27067975</v>
      </c>
      <c r="E21" s="152" t="s">
        <v>455</v>
      </c>
      <c r="F21" s="243">
        <v>5983918</v>
      </c>
      <c r="H21" s="152" t="s">
        <v>455</v>
      </c>
      <c r="I21" s="243">
        <v>1844045</v>
      </c>
      <c r="K21" s="152" t="s">
        <v>530</v>
      </c>
      <c r="L21" s="249">
        <v>-22500000</v>
      </c>
    </row>
    <row r="22" spans="2:12" ht="13.5" thickBot="1">
      <c r="B22" s="152" t="s">
        <v>456</v>
      </c>
      <c r="C22" s="243">
        <v>2470366</v>
      </c>
      <c r="E22" s="152" t="s">
        <v>456</v>
      </c>
      <c r="F22" s="243">
        <v>0</v>
      </c>
      <c r="H22" s="152" t="s">
        <v>456</v>
      </c>
      <c r="I22" s="243">
        <v>0</v>
      </c>
      <c r="K22" s="152"/>
      <c r="L22" s="264">
        <f>SUM(L20:L21)</f>
        <v>18712150</v>
      </c>
    </row>
    <row r="23" spans="2:12" ht="13.5" thickTop="1">
      <c r="B23" s="159" t="s">
        <v>457</v>
      </c>
      <c r="C23" s="244">
        <v>0</v>
      </c>
      <c r="E23" s="159" t="s">
        <v>457</v>
      </c>
      <c r="F23" s="244">
        <v>0</v>
      </c>
      <c r="H23" s="159" t="s">
        <v>457</v>
      </c>
      <c r="I23" s="244">
        <v>0</v>
      </c>
      <c r="K23" s="159"/>
      <c r="L23" s="250"/>
    </row>
    <row r="24" spans="3:12" ht="12.75">
      <c r="C24" s="245">
        <f>SUM(C20:C23)</f>
        <v>29538341</v>
      </c>
      <c r="F24" s="245">
        <f>SUM(F20:F23)</f>
        <v>5983918</v>
      </c>
      <c r="I24" s="245">
        <f>SUM(I20:I23)</f>
        <v>1844045</v>
      </c>
      <c r="K24" s="16"/>
      <c r="L24" s="251"/>
    </row>
    <row r="25" spans="2:12" ht="12.75">
      <c r="B25" s="4" t="s">
        <v>458</v>
      </c>
      <c r="C25" s="245"/>
      <c r="E25" s="4" t="s">
        <v>458</v>
      </c>
      <c r="F25" s="245"/>
      <c r="H25" s="4" t="s">
        <v>458</v>
      </c>
      <c r="I25" s="245"/>
      <c r="K25" s="4" t="s">
        <v>458</v>
      </c>
      <c r="L25" s="251"/>
    </row>
    <row r="26" spans="2:12" ht="12.75">
      <c r="B26" s="165" t="s">
        <v>459</v>
      </c>
      <c r="C26" s="242">
        <v>13850</v>
      </c>
      <c r="E26" s="165" t="s">
        <v>459</v>
      </c>
      <c r="F26" s="242">
        <v>0</v>
      </c>
      <c r="H26" s="165" t="s">
        <v>459</v>
      </c>
      <c r="I26" s="242">
        <v>0</v>
      </c>
      <c r="K26" s="165" t="s">
        <v>459</v>
      </c>
      <c r="L26" s="242">
        <v>0</v>
      </c>
    </row>
    <row r="27" spans="2:12" ht="12.75">
      <c r="B27" s="152" t="s">
        <v>460</v>
      </c>
      <c r="C27" s="243">
        <v>0</v>
      </c>
      <c r="E27" s="152" t="s">
        <v>460</v>
      </c>
      <c r="F27" s="243">
        <v>0</v>
      </c>
      <c r="H27" s="152" t="s">
        <v>460</v>
      </c>
      <c r="I27" s="243">
        <v>0</v>
      </c>
      <c r="K27" s="152" t="s">
        <v>461</v>
      </c>
      <c r="L27" s="243">
        <v>377565</v>
      </c>
    </row>
    <row r="28" spans="2:12" ht="12.75">
      <c r="B28" s="152" t="s">
        <v>462</v>
      </c>
      <c r="C28" s="243">
        <v>38479</v>
      </c>
      <c r="E28" s="152" t="s">
        <v>462</v>
      </c>
      <c r="F28" s="243">
        <v>3228</v>
      </c>
      <c r="H28" s="152" t="s">
        <v>462</v>
      </c>
      <c r="I28" s="243">
        <v>264567</v>
      </c>
      <c r="K28" s="152" t="s">
        <v>463</v>
      </c>
      <c r="L28" s="243">
        <v>941852</v>
      </c>
    </row>
    <row r="29" spans="2:12" ht="12.75">
      <c r="B29" s="152" t="s">
        <v>464</v>
      </c>
      <c r="C29" s="243">
        <v>1594973</v>
      </c>
      <c r="E29" s="152" t="s">
        <v>464</v>
      </c>
      <c r="F29" s="243">
        <v>3768</v>
      </c>
      <c r="H29" s="152" t="s">
        <v>464</v>
      </c>
      <c r="I29" s="243">
        <v>0</v>
      </c>
      <c r="K29" s="152" t="s">
        <v>465</v>
      </c>
      <c r="L29" s="243">
        <v>0</v>
      </c>
    </row>
    <row r="30" spans="2:12" ht="12.75">
      <c r="B30" s="152" t="s">
        <v>47</v>
      </c>
      <c r="C30" s="249">
        <f>1310+10000000</f>
        <v>10001310</v>
      </c>
      <c r="E30" s="152" t="s">
        <v>47</v>
      </c>
      <c r="F30" s="252">
        <v>0</v>
      </c>
      <c r="H30" s="152" t="s">
        <v>47</v>
      </c>
      <c r="I30" s="243">
        <v>0</v>
      </c>
      <c r="K30" s="152" t="s">
        <v>47</v>
      </c>
      <c r="L30">
        <v>0</v>
      </c>
    </row>
    <row r="31" spans="2:12" ht="12.75">
      <c r="B31" s="152" t="s">
        <v>466</v>
      </c>
      <c r="C31" s="243">
        <v>0</v>
      </c>
      <c r="E31" s="152" t="s">
        <v>466</v>
      </c>
      <c r="F31" s="243">
        <v>0</v>
      </c>
      <c r="H31" s="152" t="s">
        <v>466</v>
      </c>
      <c r="I31" s="243">
        <v>0</v>
      </c>
      <c r="K31" s="152" t="s">
        <v>466</v>
      </c>
      <c r="L31" s="243">
        <v>0</v>
      </c>
    </row>
    <row r="32" spans="2:12" ht="12.75">
      <c r="B32" s="152" t="s">
        <v>467</v>
      </c>
      <c r="C32" s="243">
        <v>110671</v>
      </c>
      <c r="E32" s="152" t="s">
        <v>467</v>
      </c>
      <c r="F32" s="243">
        <v>295200</v>
      </c>
      <c r="H32" s="152" t="s">
        <v>467</v>
      </c>
      <c r="I32" s="243">
        <v>21538</v>
      </c>
      <c r="K32" s="152" t="s">
        <v>467</v>
      </c>
      <c r="L32" s="243">
        <v>102868</v>
      </c>
    </row>
    <row r="33" spans="2:12" ht="12.75">
      <c r="B33" s="152" t="s">
        <v>468</v>
      </c>
      <c r="C33" s="243">
        <f>1596000+2680802</f>
        <v>4276802</v>
      </c>
      <c r="E33" s="152" t="s">
        <v>468</v>
      </c>
      <c r="F33" s="243">
        <v>397861</v>
      </c>
      <c r="H33" s="152" t="s">
        <v>468</v>
      </c>
      <c r="I33" s="243">
        <v>21498</v>
      </c>
      <c r="K33" s="152" t="s">
        <v>468</v>
      </c>
      <c r="L33" s="243">
        <v>0</v>
      </c>
    </row>
    <row r="34" spans="2:12" ht="12.75">
      <c r="B34" s="152" t="s">
        <v>469</v>
      </c>
      <c r="C34" s="243">
        <v>216163</v>
      </c>
      <c r="E34" s="152" t="s">
        <v>469</v>
      </c>
      <c r="F34" s="243">
        <v>107192</v>
      </c>
      <c r="H34" s="152" t="s">
        <v>469</v>
      </c>
      <c r="I34" s="243">
        <v>-12130</v>
      </c>
      <c r="K34" s="152" t="s">
        <v>469</v>
      </c>
      <c r="L34" s="243">
        <v>60499</v>
      </c>
    </row>
    <row r="35" spans="2:12" ht="12.75">
      <c r="B35" s="152" t="s">
        <v>470</v>
      </c>
      <c r="C35" s="243">
        <v>758258</v>
      </c>
      <c r="E35" s="152" t="s">
        <v>470</v>
      </c>
      <c r="F35" s="243">
        <v>235932</v>
      </c>
      <c r="H35" s="152" t="s">
        <v>470</v>
      </c>
      <c r="I35" s="243">
        <v>0</v>
      </c>
      <c r="K35" s="152" t="s">
        <v>470</v>
      </c>
      <c r="L35" s="243">
        <v>0</v>
      </c>
    </row>
    <row r="36" spans="2:12" ht="12.75">
      <c r="B36" s="159" t="s">
        <v>471</v>
      </c>
      <c r="C36" s="244">
        <v>328000</v>
      </c>
      <c r="E36" s="159" t="s">
        <v>471</v>
      </c>
      <c r="F36" s="244">
        <v>0</v>
      </c>
      <c r="H36" s="159" t="s">
        <v>471</v>
      </c>
      <c r="I36" s="244">
        <v>0</v>
      </c>
      <c r="K36" s="159" t="s">
        <v>471</v>
      </c>
      <c r="L36" s="244">
        <v>0</v>
      </c>
    </row>
    <row r="37" spans="3:12" ht="12.75">
      <c r="C37" s="245">
        <f>SUM(C26:C36)</f>
        <v>17338506</v>
      </c>
      <c r="F37" s="245">
        <f>SUM(F26:F36)</f>
        <v>1043181</v>
      </c>
      <c r="I37" s="245">
        <f>SUM(I26:I36)</f>
        <v>295473</v>
      </c>
      <c r="L37" s="245">
        <f>SUM(L26:L36)</f>
        <v>1482784</v>
      </c>
    </row>
    <row r="38" spans="2:12" ht="12.75">
      <c r="B38" s="4" t="s">
        <v>472</v>
      </c>
      <c r="C38" s="245"/>
      <c r="E38" s="4" t="s">
        <v>472</v>
      </c>
      <c r="F38" s="245"/>
      <c r="H38" s="4" t="s">
        <v>472</v>
      </c>
      <c r="I38" s="245"/>
      <c r="K38" s="4" t="s">
        <v>472</v>
      </c>
      <c r="L38" s="253"/>
    </row>
    <row r="39" spans="2:12" ht="12.75">
      <c r="B39" s="165" t="s">
        <v>473</v>
      </c>
      <c r="C39" s="242"/>
      <c r="E39" s="165" t="s">
        <v>473</v>
      </c>
      <c r="F39" s="242"/>
      <c r="H39" s="165" t="s">
        <v>473</v>
      </c>
      <c r="I39" s="242"/>
      <c r="K39" s="165" t="s">
        <v>473</v>
      </c>
      <c r="L39" s="242"/>
    </row>
    <row r="40" spans="2:12" ht="12.75">
      <c r="B40" s="254" t="s">
        <v>474</v>
      </c>
      <c r="C40" s="243">
        <v>0</v>
      </c>
      <c r="E40" s="254" t="s">
        <v>474</v>
      </c>
      <c r="F40" s="243">
        <v>0</v>
      </c>
      <c r="H40" s="254" t="s">
        <v>474</v>
      </c>
      <c r="I40" s="243">
        <v>0</v>
      </c>
      <c r="K40" s="254" t="s">
        <v>474</v>
      </c>
      <c r="L40" s="243">
        <v>0</v>
      </c>
    </row>
    <row r="41" spans="2:12" ht="12.75">
      <c r="B41" s="254" t="s">
        <v>475</v>
      </c>
      <c r="C41" s="243">
        <v>4445360</v>
      </c>
      <c r="E41" s="254" t="s">
        <v>475</v>
      </c>
      <c r="F41" s="243">
        <v>976650</v>
      </c>
      <c r="H41" s="254" t="s">
        <v>475</v>
      </c>
      <c r="I41" s="243">
        <v>0</v>
      </c>
      <c r="K41" s="254" t="s">
        <v>475</v>
      </c>
      <c r="L41" s="249">
        <v>0</v>
      </c>
    </row>
    <row r="42" spans="2:12" ht="12.75">
      <c r="B42" s="255" t="s">
        <v>476</v>
      </c>
      <c r="C42" s="244">
        <v>27857844</v>
      </c>
      <c r="E42" s="255" t="s">
        <v>476</v>
      </c>
      <c r="F42" s="244">
        <v>0</v>
      </c>
      <c r="H42" s="255" t="s">
        <v>476</v>
      </c>
      <c r="I42" s="244">
        <v>0</v>
      </c>
      <c r="K42" s="255" t="s">
        <v>476</v>
      </c>
      <c r="L42" s="250">
        <v>0</v>
      </c>
    </row>
    <row r="43" spans="2:12" ht="12.75">
      <c r="B43" s="240"/>
      <c r="C43" s="245">
        <f>SUM(C40:C42)</f>
        <v>32303204</v>
      </c>
      <c r="E43" s="240"/>
      <c r="F43" s="245">
        <f>SUM(F40:F42)</f>
        <v>976650</v>
      </c>
      <c r="H43" s="240"/>
      <c r="I43" s="245">
        <f>SUM(I40:I42)</f>
        <v>0</v>
      </c>
      <c r="K43" s="240"/>
      <c r="L43" s="251">
        <f>SUM(L40:L42)</f>
        <v>0</v>
      </c>
    </row>
    <row r="44" spans="2:6" ht="12.75">
      <c r="B44" s="240"/>
      <c r="C44" s="245"/>
      <c r="E44" s="240"/>
      <c r="F44" s="245"/>
    </row>
    <row r="45" spans="2:12" ht="12.75">
      <c r="B45" s="165" t="s">
        <v>477</v>
      </c>
      <c r="C45" s="242"/>
      <c r="E45" s="165" t="s">
        <v>477</v>
      </c>
      <c r="F45" s="242"/>
      <c r="H45" s="165" t="s">
        <v>477</v>
      </c>
      <c r="I45" s="242"/>
      <c r="K45" s="165" t="s">
        <v>477</v>
      </c>
      <c r="L45" s="248"/>
    </row>
    <row r="46" spans="2:12" ht="12.75">
      <c r="B46" s="255" t="s">
        <v>478</v>
      </c>
      <c r="C46" s="244">
        <v>0</v>
      </c>
      <c r="E46" s="255" t="s">
        <v>479</v>
      </c>
      <c r="F46" s="244">
        <v>277005</v>
      </c>
      <c r="H46" s="255" t="s">
        <v>479</v>
      </c>
      <c r="I46" s="244">
        <v>0</v>
      </c>
      <c r="K46" s="255" t="s">
        <v>478</v>
      </c>
      <c r="L46" s="250">
        <v>0</v>
      </c>
    </row>
    <row r="47" spans="2:12" ht="12.75">
      <c r="B47" s="240"/>
      <c r="C47" s="245"/>
      <c r="E47" s="240"/>
      <c r="F47" s="245"/>
      <c r="K47" s="240"/>
      <c r="L47" s="251"/>
    </row>
    <row r="48" spans="2:9" ht="12.75">
      <c r="B48" s="240"/>
      <c r="C48" s="245"/>
      <c r="E48" s="240"/>
      <c r="F48" s="245"/>
      <c r="H48" s="240"/>
      <c r="I48" s="245"/>
    </row>
    <row r="49" spans="2:12" ht="12.75">
      <c r="B49" s="4" t="s">
        <v>35</v>
      </c>
      <c r="C49" s="245"/>
      <c r="E49" s="4" t="s">
        <v>35</v>
      </c>
      <c r="F49" s="245"/>
      <c r="H49" s="4" t="s">
        <v>35</v>
      </c>
      <c r="I49" s="245"/>
      <c r="K49" s="4" t="s">
        <v>35</v>
      </c>
      <c r="L49" s="251"/>
    </row>
    <row r="50" spans="2:12" ht="12.75">
      <c r="B50" s="165" t="s">
        <v>480</v>
      </c>
      <c r="C50" s="242">
        <v>65352570</v>
      </c>
      <c r="E50" s="165" t="s">
        <v>480</v>
      </c>
      <c r="F50" s="242">
        <v>1648703</v>
      </c>
      <c r="H50" s="165" t="s">
        <v>480</v>
      </c>
      <c r="I50" s="242">
        <v>0</v>
      </c>
      <c r="K50" s="165" t="s">
        <v>480</v>
      </c>
      <c r="L50" s="248">
        <v>0</v>
      </c>
    </row>
    <row r="51" spans="2:12" ht="12.75">
      <c r="B51" s="152" t="s">
        <v>481</v>
      </c>
      <c r="C51" s="243">
        <v>0</v>
      </c>
      <c r="E51" s="152" t="s">
        <v>481</v>
      </c>
      <c r="F51" s="243">
        <v>0</v>
      </c>
      <c r="H51" s="152" t="s">
        <v>481</v>
      </c>
      <c r="I51" s="243">
        <v>0</v>
      </c>
      <c r="K51" s="152" t="s">
        <v>481</v>
      </c>
      <c r="L51" s="249">
        <v>0</v>
      </c>
    </row>
    <row r="52" spans="2:12" ht="12.75">
      <c r="B52" s="152" t="s">
        <v>482</v>
      </c>
      <c r="C52" s="243">
        <v>1824232</v>
      </c>
      <c r="E52" s="152" t="s">
        <v>482</v>
      </c>
      <c r="F52" s="243">
        <v>329764</v>
      </c>
      <c r="H52" s="152" t="s">
        <v>482</v>
      </c>
      <c r="I52" s="243">
        <v>0</v>
      </c>
      <c r="K52" s="152" t="s">
        <v>482</v>
      </c>
      <c r="L52" s="249">
        <v>0</v>
      </c>
    </row>
    <row r="53" spans="2:12" ht="12.75">
      <c r="B53" s="152" t="s">
        <v>483</v>
      </c>
      <c r="C53" s="243">
        <v>3690267</v>
      </c>
      <c r="E53" s="152" t="s">
        <v>483</v>
      </c>
      <c r="F53" s="243">
        <v>0</v>
      </c>
      <c r="H53" s="152" t="s">
        <v>483</v>
      </c>
      <c r="I53" s="243">
        <v>0</v>
      </c>
      <c r="K53" s="152" t="s">
        <v>483</v>
      </c>
      <c r="L53" s="249">
        <v>0</v>
      </c>
    </row>
    <row r="54" spans="2:12" ht="12.75">
      <c r="B54" s="152" t="s">
        <v>484</v>
      </c>
      <c r="C54" s="243">
        <v>643345</v>
      </c>
      <c r="E54" s="152" t="s">
        <v>484</v>
      </c>
      <c r="F54" s="243">
        <v>0</v>
      </c>
      <c r="H54" s="152" t="s">
        <v>484</v>
      </c>
      <c r="I54" s="243">
        <v>157784</v>
      </c>
      <c r="K54" s="152" t="s">
        <v>484</v>
      </c>
      <c r="L54" s="249">
        <v>0</v>
      </c>
    </row>
    <row r="55" spans="2:12" ht="12.75">
      <c r="B55" s="152" t="s">
        <v>485</v>
      </c>
      <c r="C55" s="243">
        <v>1802041</v>
      </c>
      <c r="E55" s="152" t="s">
        <v>485</v>
      </c>
      <c r="F55" s="243">
        <v>0</v>
      </c>
      <c r="H55" s="152" t="s">
        <v>485</v>
      </c>
      <c r="I55" s="243">
        <v>0</v>
      </c>
      <c r="K55" s="152" t="s">
        <v>485</v>
      </c>
      <c r="L55" s="249">
        <v>0</v>
      </c>
    </row>
    <row r="56" spans="2:12" ht="12.75">
      <c r="B56" s="152" t="s">
        <v>486</v>
      </c>
      <c r="C56" s="243">
        <v>1328434</v>
      </c>
      <c r="E56" s="152" t="s">
        <v>486</v>
      </c>
      <c r="F56" s="243">
        <v>147297</v>
      </c>
      <c r="H56" s="152" t="s">
        <v>486</v>
      </c>
      <c r="I56" s="243">
        <v>31516</v>
      </c>
      <c r="K56" s="152" t="s">
        <v>486</v>
      </c>
      <c r="L56" s="249">
        <v>17058</v>
      </c>
    </row>
    <row r="57" spans="2:12" ht="12.75">
      <c r="B57" s="152" t="s">
        <v>487</v>
      </c>
      <c r="C57" s="243">
        <v>2731770</v>
      </c>
      <c r="E57" s="152" t="s">
        <v>487</v>
      </c>
      <c r="F57" s="243">
        <v>0</v>
      </c>
      <c r="H57" s="152" t="s">
        <v>487</v>
      </c>
      <c r="I57" s="243">
        <v>0</v>
      </c>
      <c r="K57" s="152" t="s">
        <v>487</v>
      </c>
      <c r="L57" s="249">
        <v>0</v>
      </c>
    </row>
    <row r="58" spans="2:12" ht="12.75">
      <c r="B58" s="152" t="s">
        <v>488</v>
      </c>
      <c r="C58" s="243">
        <v>270654</v>
      </c>
      <c r="E58" s="152" t="s">
        <v>488</v>
      </c>
      <c r="F58" s="243">
        <v>0</v>
      </c>
      <c r="H58" s="152" t="s">
        <v>488</v>
      </c>
      <c r="I58" s="243">
        <v>0</v>
      </c>
      <c r="K58" s="152" t="s">
        <v>488</v>
      </c>
      <c r="L58" s="249">
        <v>0</v>
      </c>
    </row>
    <row r="59" spans="2:12" ht="12.75">
      <c r="B59" s="152" t="s">
        <v>489</v>
      </c>
      <c r="C59" s="243">
        <v>731163</v>
      </c>
      <c r="E59" s="152" t="s">
        <v>489</v>
      </c>
      <c r="F59" s="243">
        <v>26936</v>
      </c>
      <c r="H59" s="152" t="s">
        <v>489</v>
      </c>
      <c r="I59" s="243">
        <v>0</v>
      </c>
      <c r="K59" s="152" t="s">
        <v>489</v>
      </c>
      <c r="L59" s="249">
        <v>0</v>
      </c>
    </row>
    <row r="60" spans="2:12" ht="12.75">
      <c r="B60" s="152" t="s">
        <v>490</v>
      </c>
      <c r="C60" s="243">
        <v>0</v>
      </c>
      <c r="E60" s="152" t="s">
        <v>490</v>
      </c>
      <c r="F60" s="243">
        <v>0</v>
      </c>
      <c r="H60" s="152" t="s">
        <v>490</v>
      </c>
      <c r="I60" s="243">
        <v>0</v>
      </c>
      <c r="K60" s="152" t="s">
        <v>490</v>
      </c>
      <c r="L60" s="249">
        <v>0</v>
      </c>
    </row>
    <row r="61" spans="2:12" ht="12.75">
      <c r="B61" s="159" t="s">
        <v>491</v>
      </c>
      <c r="C61" s="244">
        <f>-13056231-5448802</f>
        <v>-18505033</v>
      </c>
      <c r="E61" s="159" t="s">
        <v>491</v>
      </c>
      <c r="F61" s="244">
        <v>-126447</v>
      </c>
      <c r="H61" s="159" t="s">
        <v>491</v>
      </c>
      <c r="I61" s="244">
        <v>-172854</v>
      </c>
      <c r="K61" s="159" t="s">
        <v>491</v>
      </c>
      <c r="L61" s="250">
        <v>-6292</v>
      </c>
    </row>
    <row r="62" spans="3:12" ht="12.75">
      <c r="C62" s="256">
        <f>SUM(C50:C61)</f>
        <v>59869443</v>
      </c>
      <c r="F62" s="256">
        <f>SUM(F50:F61)</f>
        <v>2026253</v>
      </c>
      <c r="I62" s="256">
        <f>SUM(I50:I61)</f>
        <v>16446</v>
      </c>
      <c r="L62" s="257">
        <f>SUM(L50:L61)</f>
        <v>10766</v>
      </c>
    </row>
    <row r="63" spans="3:6" ht="12.75">
      <c r="C63" s="26"/>
      <c r="F63" s="26"/>
    </row>
    <row r="64" spans="2:16" ht="12.75">
      <c r="B64" s="4" t="s">
        <v>492</v>
      </c>
      <c r="C64" s="245"/>
      <c r="E64" s="4" t="s">
        <v>492</v>
      </c>
      <c r="F64" s="245"/>
      <c r="H64" s="4" t="s">
        <v>492</v>
      </c>
      <c r="I64" s="245"/>
      <c r="K64" s="4" t="s">
        <v>492</v>
      </c>
      <c r="L64" s="251"/>
      <c r="O64" s="258"/>
      <c r="P64" s="248"/>
    </row>
    <row r="65" spans="2:16" ht="12.75">
      <c r="B65" s="165" t="s">
        <v>493</v>
      </c>
      <c r="C65" s="242">
        <v>2000000</v>
      </c>
      <c r="E65" s="165" t="s">
        <v>493</v>
      </c>
      <c r="F65" s="242">
        <v>0</v>
      </c>
      <c r="H65" s="165" t="s">
        <v>493</v>
      </c>
      <c r="I65" s="242">
        <v>0</v>
      </c>
      <c r="K65" s="165" t="s">
        <v>493</v>
      </c>
      <c r="L65" s="248">
        <v>0</v>
      </c>
      <c r="O65" s="159"/>
      <c r="P65" s="250"/>
    </row>
    <row r="66" spans="2:12" ht="12.75">
      <c r="B66" s="152" t="s">
        <v>494</v>
      </c>
      <c r="C66" s="243">
        <v>400000</v>
      </c>
      <c r="E66" s="152" t="s">
        <v>494</v>
      </c>
      <c r="F66" s="243">
        <v>0</v>
      </c>
      <c r="H66" s="152" t="s">
        <v>494</v>
      </c>
      <c r="I66" s="243">
        <v>0</v>
      </c>
      <c r="K66" s="152" t="s">
        <v>494</v>
      </c>
      <c r="L66" s="249">
        <v>0</v>
      </c>
    </row>
    <row r="67" spans="2:12" ht="12.75">
      <c r="B67" s="159" t="s">
        <v>495</v>
      </c>
      <c r="C67" s="244">
        <v>15000000</v>
      </c>
      <c r="E67" s="159" t="s">
        <v>495</v>
      </c>
      <c r="F67" s="244">
        <v>0</v>
      </c>
      <c r="H67" s="159" t="s">
        <v>495</v>
      </c>
      <c r="I67" s="244">
        <v>0</v>
      </c>
      <c r="K67" s="159" t="s">
        <v>495</v>
      </c>
      <c r="L67" s="250">
        <v>0</v>
      </c>
    </row>
    <row r="68" spans="2:12" ht="12.75">
      <c r="B68" s="16"/>
      <c r="C68" s="245">
        <f>SUM(C65:C67)</f>
        <v>17400000</v>
      </c>
      <c r="E68" s="16"/>
      <c r="F68" s="245">
        <f>SUM(F65:F67)</f>
        <v>0</v>
      </c>
      <c r="H68" s="16"/>
      <c r="I68" s="245">
        <f>SUM(I65:I67)</f>
        <v>0</v>
      </c>
      <c r="K68" s="16"/>
      <c r="L68" s="251">
        <f>SUM(L65:L67)</f>
        <v>0</v>
      </c>
    </row>
    <row r="69" spans="2:12" ht="12.75">
      <c r="B69" s="258" t="s">
        <v>496</v>
      </c>
      <c r="C69" s="242"/>
      <c r="E69" s="258" t="s">
        <v>496</v>
      </c>
      <c r="F69" s="242"/>
      <c r="H69" s="258" t="s">
        <v>496</v>
      </c>
      <c r="I69" s="242"/>
      <c r="K69" s="258" t="s">
        <v>496</v>
      </c>
      <c r="L69" s="248"/>
    </row>
    <row r="70" spans="2:12" ht="12.75">
      <c r="B70" s="159" t="s">
        <v>497</v>
      </c>
      <c r="C70" s="244">
        <v>7000000</v>
      </c>
      <c r="E70" s="159" t="s">
        <v>497</v>
      </c>
      <c r="F70" s="244">
        <v>0</v>
      </c>
      <c r="H70" s="159" t="s">
        <v>497</v>
      </c>
      <c r="I70" s="244">
        <v>0</v>
      </c>
      <c r="K70" s="159" t="s">
        <v>497</v>
      </c>
      <c r="L70" s="250">
        <v>0</v>
      </c>
    </row>
    <row r="71" spans="3:12" ht="12.75">
      <c r="C71" s="245">
        <f>SUM(C70)</f>
        <v>7000000</v>
      </c>
      <c r="F71" s="245">
        <f>SUM(F70)</f>
        <v>0</v>
      </c>
      <c r="I71" s="245">
        <f>SUM(I70)</f>
        <v>0</v>
      </c>
      <c r="L71" s="251">
        <f>SUM(L70)</f>
        <v>0</v>
      </c>
    </row>
    <row r="72" spans="3:12" ht="12.75">
      <c r="C72" s="245"/>
      <c r="F72" s="245"/>
      <c r="L72" s="251"/>
    </row>
    <row r="73" spans="2:12" ht="13.5" thickBot="1">
      <c r="B73" s="15" t="s">
        <v>498</v>
      </c>
      <c r="C73" s="259">
        <f>+C14+C18+C24+C37+C43+C46+C62+C68+C71</f>
        <v>231660206</v>
      </c>
      <c r="E73" s="15" t="s">
        <v>498</v>
      </c>
      <c r="F73" s="259">
        <f>+F14+F18+F24+F37+F43+F46+F62+F68+F71</f>
        <v>57445227</v>
      </c>
      <c r="H73" s="15" t="s">
        <v>498</v>
      </c>
      <c r="I73" s="259">
        <f>+I14+I18+I24+I37+I43+I46+I62+I68+I71</f>
        <v>3841661</v>
      </c>
      <c r="K73" s="15" t="s">
        <v>498</v>
      </c>
      <c r="L73" s="259">
        <f>+L14+L20+L37+L43+L46+L62+P65+L68+L71</f>
        <v>46850631</v>
      </c>
    </row>
    <row r="74" spans="3:9" ht="13.5" thickTop="1">
      <c r="C74" s="245"/>
      <c r="F74" s="245"/>
      <c r="I74" s="245"/>
    </row>
    <row r="75" spans="2:12" ht="12.75">
      <c r="B75" s="15" t="s">
        <v>499</v>
      </c>
      <c r="C75" s="245"/>
      <c r="E75" s="15" t="s">
        <v>499</v>
      </c>
      <c r="F75" s="245"/>
      <c r="H75" s="15" t="s">
        <v>499</v>
      </c>
      <c r="I75" s="245"/>
      <c r="K75" s="15" t="s">
        <v>499</v>
      </c>
      <c r="L75" s="251"/>
    </row>
    <row r="76" spans="3:12" ht="12.75">
      <c r="C76" s="245"/>
      <c r="F76" s="245"/>
      <c r="I76" s="245"/>
      <c r="L76" s="251"/>
    </row>
    <row r="77" spans="2:12" ht="12.75">
      <c r="B77" s="4" t="s">
        <v>500</v>
      </c>
      <c r="C77" s="245"/>
      <c r="E77" s="4" t="s">
        <v>500</v>
      </c>
      <c r="F77" s="245"/>
      <c r="H77" s="4" t="s">
        <v>500</v>
      </c>
      <c r="I77" s="245"/>
      <c r="K77" s="4" t="s">
        <v>500</v>
      </c>
      <c r="L77" s="251"/>
    </row>
    <row r="78" spans="2:12" ht="12.75">
      <c r="B78" s="165" t="s">
        <v>501</v>
      </c>
      <c r="C78" s="242">
        <v>0</v>
      </c>
      <c r="E78" s="165" t="s">
        <v>501</v>
      </c>
      <c r="F78" s="242">
        <v>0</v>
      </c>
      <c r="H78" s="165" t="s">
        <v>501</v>
      </c>
      <c r="I78" s="242">
        <v>0</v>
      </c>
      <c r="K78" s="165" t="s">
        <v>501</v>
      </c>
      <c r="L78" s="248">
        <v>0</v>
      </c>
    </row>
    <row r="79" spans="2:12" ht="12.75">
      <c r="B79" s="152" t="s">
        <v>450</v>
      </c>
      <c r="C79" s="243">
        <v>0</v>
      </c>
      <c r="E79" s="152" t="s">
        <v>450</v>
      </c>
      <c r="F79" s="243">
        <v>0</v>
      </c>
      <c r="H79" s="152" t="s">
        <v>450</v>
      </c>
      <c r="I79" s="243">
        <v>0</v>
      </c>
      <c r="K79" s="152" t="s">
        <v>450</v>
      </c>
      <c r="L79" s="249">
        <v>0</v>
      </c>
    </row>
    <row r="80" spans="2:12" ht="12.75">
      <c r="B80" s="152" t="s">
        <v>502</v>
      </c>
      <c r="C80" s="243">
        <v>0</v>
      </c>
      <c r="E80" s="152" t="s">
        <v>502</v>
      </c>
      <c r="F80" s="243">
        <v>0</v>
      </c>
      <c r="H80" s="152" t="s">
        <v>502</v>
      </c>
      <c r="I80" s="243">
        <v>0</v>
      </c>
      <c r="K80" s="152" t="s">
        <v>502</v>
      </c>
      <c r="L80" s="249">
        <v>0</v>
      </c>
    </row>
    <row r="81" spans="2:12" ht="12.75">
      <c r="B81" s="159" t="s">
        <v>503</v>
      </c>
      <c r="C81" s="244">
        <v>0</v>
      </c>
      <c r="E81" s="159" t="s">
        <v>503</v>
      </c>
      <c r="F81" s="244">
        <v>-835177</v>
      </c>
      <c r="H81" s="159" t="s">
        <v>503</v>
      </c>
      <c r="I81" s="244">
        <v>0</v>
      </c>
      <c r="K81" s="159" t="s">
        <v>503</v>
      </c>
      <c r="L81" s="250">
        <v>0</v>
      </c>
    </row>
    <row r="82" spans="3:12" ht="12.75">
      <c r="C82" s="245">
        <f>SUM(C78:C81)</f>
        <v>0</v>
      </c>
      <c r="F82" s="245">
        <f>SUM(F78:F81)</f>
        <v>-835177</v>
      </c>
      <c r="I82" s="245">
        <f>SUM(I78:I81)</f>
        <v>0</v>
      </c>
      <c r="L82" s="251">
        <f>SUM(L78:L81)</f>
        <v>0</v>
      </c>
    </row>
    <row r="83" spans="2:11" ht="12.75">
      <c r="B83" s="4" t="s">
        <v>50</v>
      </c>
      <c r="C83" s="26"/>
      <c r="E83" s="4" t="s">
        <v>50</v>
      </c>
      <c r="F83" s="26"/>
      <c r="H83" s="4" t="s">
        <v>50</v>
      </c>
      <c r="I83" s="26"/>
      <c r="K83" s="4" t="s">
        <v>50</v>
      </c>
    </row>
    <row r="84" spans="2:12" ht="12.75">
      <c r="B84" s="165" t="s">
        <v>504</v>
      </c>
      <c r="C84" s="242">
        <v>0</v>
      </c>
      <c r="E84" s="165" t="s">
        <v>504</v>
      </c>
      <c r="F84" s="242">
        <v>0</v>
      </c>
      <c r="H84" s="165" t="s">
        <v>504</v>
      </c>
      <c r="I84" s="242">
        <v>0</v>
      </c>
      <c r="K84" s="165" t="s">
        <v>504</v>
      </c>
      <c r="L84" s="248">
        <v>0</v>
      </c>
    </row>
    <row r="85" spans="2:12" ht="12.75">
      <c r="B85" s="152" t="s">
        <v>505</v>
      </c>
      <c r="C85" s="243">
        <v>-23165294</v>
      </c>
      <c r="E85" s="152" t="s">
        <v>506</v>
      </c>
      <c r="F85" s="243">
        <v>0</v>
      </c>
      <c r="H85" s="152" t="s">
        <v>506</v>
      </c>
      <c r="I85" s="243">
        <v>0</v>
      </c>
      <c r="K85" s="152" t="s">
        <v>506</v>
      </c>
      <c r="L85" s="249">
        <v>0</v>
      </c>
    </row>
    <row r="86" spans="2:12" ht="12.75">
      <c r="B86" s="152" t="s">
        <v>506</v>
      </c>
      <c r="C86" s="243">
        <v>0</v>
      </c>
      <c r="E86" s="159" t="s">
        <v>507</v>
      </c>
      <c r="F86" s="244">
        <v>0</v>
      </c>
      <c r="H86" s="159" t="s">
        <v>507</v>
      </c>
      <c r="I86" s="244">
        <v>0</v>
      </c>
      <c r="K86" s="159" t="s">
        <v>507</v>
      </c>
      <c r="L86" s="250">
        <v>0</v>
      </c>
    </row>
    <row r="87" spans="2:12" ht="12.75">
      <c r="B87" s="159" t="s">
        <v>507</v>
      </c>
      <c r="C87" s="244">
        <v>-29638363</v>
      </c>
      <c r="F87" s="245">
        <f>SUM(F84:F86)</f>
        <v>0</v>
      </c>
      <c r="I87" s="245">
        <f>SUM(I84:I86)</f>
        <v>0</v>
      </c>
      <c r="L87" s="251">
        <f>SUM(L84:L86)</f>
        <v>0</v>
      </c>
    </row>
    <row r="88" spans="3:11" ht="12.75">
      <c r="C88" s="245">
        <f>SUM(C84:C87)</f>
        <v>-52803657</v>
      </c>
      <c r="E88" s="4" t="s">
        <v>508</v>
      </c>
      <c r="F88" s="26"/>
      <c r="H88" s="4" t="s">
        <v>508</v>
      </c>
      <c r="I88" s="26"/>
      <c r="K88" s="4" t="s">
        <v>508</v>
      </c>
    </row>
    <row r="89" spans="2:12" ht="12.75">
      <c r="B89" s="4" t="s">
        <v>508</v>
      </c>
      <c r="C89" s="26"/>
      <c r="E89" s="165" t="s">
        <v>509</v>
      </c>
      <c r="F89" s="260">
        <v>0</v>
      </c>
      <c r="H89" s="165" t="s">
        <v>509</v>
      </c>
      <c r="I89" s="260">
        <v>0</v>
      </c>
      <c r="K89" s="165" t="s">
        <v>509</v>
      </c>
      <c r="L89" s="44">
        <v>0</v>
      </c>
    </row>
    <row r="90" spans="2:12" ht="12.75">
      <c r="B90" s="165" t="s">
        <v>509</v>
      </c>
      <c r="C90" s="242">
        <v>0</v>
      </c>
      <c r="E90" s="152" t="s">
        <v>505</v>
      </c>
      <c r="F90" s="243">
        <v>-3276813</v>
      </c>
      <c r="H90" s="152" t="s">
        <v>505</v>
      </c>
      <c r="I90" s="243">
        <v>-1764449</v>
      </c>
      <c r="K90" s="152" t="s">
        <v>505</v>
      </c>
      <c r="L90" s="249">
        <v>-296709</v>
      </c>
    </row>
    <row r="91" spans="2:12" ht="12.75">
      <c r="B91" s="152" t="s">
        <v>527</v>
      </c>
      <c r="C91" s="243">
        <v>1373309</v>
      </c>
      <c r="E91" s="152" t="s">
        <v>510</v>
      </c>
      <c r="F91" s="243">
        <v>0</v>
      </c>
      <c r="H91" s="152" t="s">
        <v>527</v>
      </c>
      <c r="I91" s="243">
        <v>1266171</v>
      </c>
      <c r="K91" s="152" t="s">
        <v>510</v>
      </c>
      <c r="L91" s="249">
        <v>0</v>
      </c>
    </row>
    <row r="92" spans="2:12" ht="12.75">
      <c r="B92" s="152" t="s">
        <v>511</v>
      </c>
      <c r="C92" s="243">
        <v>-2277873</v>
      </c>
      <c r="E92" s="152" t="s">
        <v>511</v>
      </c>
      <c r="F92" s="243">
        <v>-23484019</v>
      </c>
      <c r="H92" s="152" t="s">
        <v>511</v>
      </c>
      <c r="I92" s="243">
        <v>0</v>
      </c>
      <c r="K92" s="152" t="s">
        <v>511</v>
      </c>
      <c r="L92" s="249">
        <v>0</v>
      </c>
    </row>
    <row r="93" spans="2:12" ht="12.75">
      <c r="B93" s="152" t="s">
        <v>51</v>
      </c>
      <c r="C93" s="243">
        <v>-25375</v>
      </c>
      <c r="E93" s="152" t="s">
        <v>51</v>
      </c>
      <c r="F93" s="243">
        <v>0</v>
      </c>
      <c r="H93" s="152" t="s">
        <v>51</v>
      </c>
      <c r="I93" s="243">
        <v>0</v>
      </c>
      <c r="K93" s="152" t="s">
        <v>51</v>
      </c>
      <c r="L93" s="249">
        <v>0</v>
      </c>
    </row>
    <row r="94" spans="2:12" ht="12.75">
      <c r="B94" s="152" t="s">
        <v>512</v>
      </c>
      <c r="C94" s="243">
        <v>-975506</v>
      </c>
      <c r="E94" s="152" t="s">
        <v>512</v>
      </c>
      <c r="F94" s="243">
        <v>-537856</v>
      </c>
      <c r="H94" s="152" t="s">
        <v>512</v>
      </c>
      <c r="I94" s="243">
        <v>-32653</v>
      </c>
      <c r="K94" s="152" t="s">
        <v>512</v>
      </c>
      <c r="L94" s="249">
        <v>-3362</v>
      </c>
    </row>
    <row r="95" spans="2:12" ht="12.75">
      <c r="B95" s="152" t="s">
        <v>513</v>
      </c>
      <c r="C95" s="243">
        <v>-236197</v>
      </c>
      <c r="E95" s="152" t="s">
        <v>513</v>
      </c>
      <c r="F95" s="243">
        <v>0</v>
      </c>
      <c r="H95" s="152" t="s">
        <v>513</v>
      </c>
      <c r="I95" s="243">
        <v>0</v>
      </c>
      <c r="K95" s="152" t="s">
        <v>513</v>
      </c>
      <c r="L95" s="249">
        <v>0</v>
      </c>
    </row>
    <row r="96" spans="2:12" ht="12.75">
      <c r="B96" s="152" t="s">
        <v>514</v>
      </c>
      <c r="C96" s="243">
        <v>-631880</v>
      </c>
      <c r="E96" s="152" t="s">
        <v>514</v>
      </c>
      <c r="F96" s="243">
        <v>0</v>
      </c>
      <c r="H96" s="152" t="s">
        <v>514</v>
      </c>
      <c r="I96" s="243">
        <v>0</v>
      </c>
      <c r="K96" s="152" t="s">
        <v>514</v>
      </c>
      <c r="L96" s="249">
        <v>0</v>
      </c>
    </row>
    <row r="97" spans="2:12" ht="12.75">
      <c r="B97" s="152" t="s">
        <v>515</v>
      </c>
      <c r="C97" s="243">
        <v>0</v>
      </c>
      <c r="E97" s="152" t="s">
        <v>515</v>
      </c>
      <c r="F97" s="243">
        <v>0</v>
      </c>
      <c r="H97" s="152" t="s">
        <v>515</v>
      </c>
      <c r="I97" s="243">
        <v>0</v>
      </c>
      <c r="K97" s="152" t="s">
        <v>515</v>
      </c>
      <c r="L97" s="249">
        <v>0</v>
      </c>
    </row>
    <row r="98" spans="2:12" ht="12.75">
      <c r="B98" s="159" t="s">
        <v>516</v>
      </c>
      <c r="C98" s="244">
        <v>0</v>
      </c>
      <c r="E98" s="159" t="s">
        <v>516</v>
      </c>
      <c r="F98" s="244">
        <v>0</v>
      </c>
      <c r="H98" s="159" t="s">
        <v>516</v>
      </c>
      <c r="I98" s="244">
        <v>0</v>
      </c>
      <c r="K98" s="159" t="s">
        <v>516</v>
      </c>
      <c r="L98" s="250">
        <v>0</v>
      </c>
    </row>
    <row r="99" spans="3:12" ht="12.75">
      <c r="C99" s="245">
        <f>SUM(C90:C98)</f>
        <v>-2773522</v>
      </c>
      <c r="F99" s="245">
        <f>SUM(F89:F98)</f>
        <v>-27298688</v>
      </c>
      <c r="I99" s="245">
        <f>SUM(I89:I98)</f>
        <v>-530931</v>
      </c>
      <c r="L99" s="251">
        <f>SUM(L89:L98)</f>
        <v>-300071</v>
      </c>
    </row>
    <row r="100" spans="2:12" ht="12.75">
      <c r="B100" s="4" t="s">
        <v>472</v>
      </c>
      <c r="C100" s="245"/>
      <c r="E100" s="4" t="s">
        <v>472</v>
      </c>
      <c r="F100" s="245"/>
      <c r="H100" s="4" t="s">
        <v>472</v>
      </c>
      <c r="I100" s="245"/>
      <c r="K100" s="4" t="s">
        <v>472</v>
      </c>
      <c r="L100" s="253"/>
    </row>
    <row r="101" spans="2:12" ht="12.75">
      <c r="B101" s="165" t="s">
        <v>517</v>
      </c>
      <c r="C101" s="242"/>
      <c r="E101" s="165" t="s">
        <v>517</v>
      </c>
      <c r="F101" s="242"/>
      <c r="H101" s="165" t="s">
        <v>517</v>
      </c>
      <c r="I101" s="242"/>
      <c r="K101" s="165" t="s">
        <v>517</v>
      </c>
      <c r="L101" s="242"/>
    </row>
    <row r="102" spans="2:12" ht="12.75">
      <c r="B102" s="254" t="s">
        <v>474</v>
      </c>
      <c r="C102" s="243">
        <v>-277005</v>
      </c>
      <c r="E102" s="254" t="s">
        <v>474</v>
      </c>
      <c r="F102" s="243">
        <v>0</v>
      </c>
      <c r="H102" s="254" t="s">
        <v>474</v>
      </c>
      <c r="I102" s="243">
        <v>-976650</v>
      </c>
      <c r="K102" s="254" t="s">
        <v>474</v>
      </c>
      <c r="L102" s="249">
        <v>0</v>
      </c>
    </row>
    <row r="103" spans="2:12" ht="12.75">
      <c r="B103" s="254" t="s">
        <v>475</v>
      </c>
      <c r="C103" s="243">
        <v>0</v>
      </c>
      <c r="E103" s="254" t="s">
        <v>475</v>
      </c>
      <c r="F103" s="243">
        <v>0</v>
      </c>
      <c r="H103" s="254" t="s">
        <v>475</v>
      </c>
      <c r="I103" s="243">
        <v>0</v>
      </c>
      <c r="K103" s="254" t="s">
        <v>475</v>
      </c>
      <c r="L103" s="249">
        <v>0</v>
      </c>
    </row>
    <row r="104" spans="2:12" ht="12.75">
      <c r="B104" s="255" t="s">
        <v>476</v>
      </c>
      <c r="C104" s="244">
        <v>0</v>
      </c>
      <c r="E104" s="255" t="s">
        <v>476</v>
      </c>
      <c r="F104" s="244">
        <v>0</v>
      </c>
      <c r="H104" s="255" t="s">
        <v>476</v>
      </c>
      <c r="I104" s="244">
        <v>0</v>
      </c>
      <c r="K104" s="255" t="s">
        <v>476</v>
      </c>
      <c r="L104" s="250">
        <v>0</v>
      </c>
    </row>
    <row r="105" spans="2:12" ht="12.75">
      <c r="B105" s="261"/>
      <c r="C105" s="245">
        <f>SUM(C102:C104)</f>
        <v>-277005</v>
      </c>
      <c r="E105" s="261"/>
      <c r="F105" s="245">
        <f>SUM(F102:F104)</f>
        <v>0</v>
      </c>
      <c r="H105" s="261"/>
      <c r="I105" s="245">
        <f>SUM(I102:I104)</f>
        <v>-976650</v>
      </c>
      <c r="K105" s="261"/>
      <c r="L105" s="251">
        <f>SUM(L102:L104)</f>
        <v>0</v>
      </c>
    </row>
    <row r="106" spans="2:9" ht="12.75">
      <c r="B106" s="261"/>
      <c r="C106" s="245"/>
      <c r="E106" s="261"/>
      <c r="F106" s="245"/>
      <c r="H106" s="261"/>
      <c r="I106" s="245"/>
    </row>
    <row r="107" spans="2:12" ht="12.75">
      <c r="B107" s="165" t="s">
        <v>518</v>
      </c>
      <c r="C107" s="242"/>
      <c r="E107" s="165" t="s">
        <v>518</v>
      </c>
      <c r="F107" s="242"/>
      <c r="H107" s="165" t="s">
        <v>518</v>
      </c>
      <c r="I107" s="242"/>
      <c r="K107" s="165" t="s">
        <v>518</v>
      </c>
      <c r="L107" s="248"/>
    </row>
    <row r="108" spans="2:12" ht="12.75">
      <c r="B108" s="255" t="s">
        <v>478</v>
      </c>
      <c r="C108" s="244">
        <v>0</v>
      </c>
      <c r="E108" s="255" t="s">
        <v>479</v>
      </c>
      <c r="F108" s="244">
        <v>0</v>
      </c>
      <c r="H108" s="255" t="s">
        <v>479</v>
      </c>
      <c r="I108" s="244">
        <v>-4445360</v>
      </c>
      <c r="K108" s="255" t="s">
        <v>479</v>
      </c>
      <c r="L108" s="250">
        <f>-27700000-157844</f>
        <v>-27857844</v>
      </c>
    </row>
    <row r="109" spans="3:12" ht="12.75">
      <c r="C109" s="245"/>
      <c r="F109" s="245">
        <f>SUM(F108)</f>
        <v>0</v>
      </c>
      <c r="I109" s="245"/>
      <c r="K109" s="261"/>
      <c r="L109" s="251"/>
    </row>
    <row r="110" spans="2:12" ht="12.75">
      <c r="B110" t="s">
        <v>519</v>
      </c>
      <c r="C110" s="245">
        <v>-10000000</v>
      </c>
      <c r="E110" t="s">
        <v>519</v>
      </c>
      <c r="F110" s="245">
        <v>-10000000</v>
      </c>
      <c r="H110" t="s">
        <v>519</v>
      </c>
      <c r="I110" s="245">
        <v>0</v>
      </c>
      <c r="K110" t="s">
        <v>519</v>
      </c>
      <c r="L110" s="251">
        <v>0</v>
      </c>
    </row>
    <row r="111" spans="2:12" ht="12.75">
      <c r="B111" t="s">
        <v>520</v>
      </c>
      <c r="C111" s="245">
        <v>-1640109</v>
      </c>
      <c r="E111" t="s">
        <v>520</v>
      </c>
      <c r="F111" s="245">
        <f>+'ACC-DMSB'!D19</f>
        <v>-745566</v>
      </c>
      <c r="H111" t="s">
        <v>520</v>
      </c>
      <c r="I111" s="245">
        <f>+'ACC-DMSB'!E19</f>
        <v>-16215</v>
      </c>
      <c r="K111" t="s">
        <v>520</v>
      </c>
      <c r="L111" s="245">
        <f>-8892-'ACC-DMSB'!F19</f>
        <v>-8892</v>
      </c>
    </row>
    <row r="112" spans="2:12" ht="12.75">
      <c r="B112" t="s">
        <v>521</v>
      </c>
      <c r="C112" s="245">
        <v>0</v>
      </c>
      <c r="E112" t="s">
        <v>521</v>
      </c>
      <c r="F112" s="245">
        <v>0</v>
      </c>
      <c r="H112" t="s">
        <v>521</v>
      </c>
      <c r="I112" s="245">
        <v>0</v>
      </c>
      <c r="K112" t="s">
        <v>521</v>
      </c>
      <c r="L112" s="245">
        <v>0</v>
      </c>
    </row>
    <row r="113" spans="2:12" ht="12.75">
      <c r="B113" t="s">
        <v>522</v>
      </c>
      <c r="C113" s="245">
        <v>-30000000</v>
      </c>
      <c r="E113" t="s">
        <v>522</v>
      </c>
      <c r="F113" s="245">
        <v>0</v>
      </c>
      <c r="H113" t="s">
        <v>522</v>
      </c>
      <c r="I113" s="245">
        <v>0</v>
      </c>
      <c r="K113" t="s">
        <v>522</v>
      </c>
      <c r="L113" s="251">
        <v>0</v>
      </c>
    </row>
    <row r="114" spans="3:9" ht="12.75">
      <c r="C114" s="26"/>
      <c r="F114" s="26"/>
      <c r="I114" s="26"/>
    </row>
    <row r="115" spans="3:12" ht="13.5" thickBot="1">
      <c r="C115" s="259">
        <f>+C82+C88+C99+C105+C110+C111+C112+C113</f>
        <v>-97494293</v>
      </c>
      <c r="F115" s="259">
        <f>+F82+F87+F99+F105+F109+F110+F111+F112+F113</f>
        <v>-38879431</v>
      </c>
      <c r="I115" s="259">
        <f>+I82+I87+I99+I105+I108+I110+I111+I112+I113</f>
        <v>-5969156</v>
      </c>
      <c r="L115" s="259">
        <f>+L82+L87+L99+L105+L108+L110+L111+L112+L113</f>
        <v>-28166807</v>
      </c>
    </row>
    <row r="116" spans="3:12" ht="13.5" thickTop="1">
      <c r="C116" s="245"/>
      <c r="F116" s="245"/>
      <c r="I116" s="245"/>
      <c r="L116" s="251"/>
    </row>
    <row r="117" spans="2:12" ht="13.5" thickBot="1">
      <c r="B117" s="15" t="s">
        <v>523</v>
      </c>
      <c r="C117" s="262">
        <f>+C73+C115</f>
        <v>134165913</v>
      </c>
      <c r="E117" s="15" t="s">
        <v>523</v>
      </c>
      <c r="F117" s="262">
        <f>+F73+F115</f>
        <v>18565796</v>
      </c>
      <c r="H117" s="15" t="s">
        <v>523</v>
      </c>
      <c r="I117" s="262">
        <f>+I73+I115</f>
        <v>-2127495</v>
      </c>
      <c r="K117" s="15" t="s">
        <v>523</v>
      </c>
      <c r="L117" s="262">
        <f>+L73+L115</f>
        <v>18683824</v>
      </c>
    </row>
    <row r="118" spans="3:9" ht="12.75">
      <c r="C118" s="245"/>
      <c r="F118" s="245"/>
      <c r="I118" s="245"/>
    </row>
    <row r="119" spans="2:12" ht="12.75">
      <c r="B119" s="15" t="s">
        <v>524</v>
      </c>
      <c r="C119" s="245"/>
      <c r="E119" s="15" t="s">
        <v>524</v>
      </c>
      <c r="F119" s="245"/>
      <c r="H119" s="15" t="s">
        <v>524</v>
      </c>
      <c r="I119" s="245"/>
      <c r="K119" s="15" t="s">
        <v>524</v>
      </c>
      <c r="L119" s="251"/>
    </row>
    <row r="120" spans="3:12" ht="12.75">
      <c r="C120" s="245"/>
      <c r="F120" s="245"/>
      <c r="I120" s="245"/>
      <c r="L120" s="251"/>
    </row>
    <row r="121" spans="2:12" ht="12.75">
      <c r="B121" t="s">
        <v>525</v>
      </c>
      <c r="C121" s="245">
        <v>20000000</v>
      </c>
      <c r="E121" t="s">
        <v>525</v>
      </c>
      <c r="F121" s="245">
        <v>2000000</v>
      </c>
      <c r="H121" t="s">
        <v>525</v>
      </c>
      <c r="I121" s="245">
        <v>400000</v>
      </c>
      <c r="K121" t="s">
        <v>525</v>
      </c>
      <c r="L121" s="251">
        <v>15000000</v>
      </c>
    </row>
    <row r="122" spans="2:12" ht="12.75">
      <c r="B122" t="s">
        <v>64</v>
      </c>
      <c r="C122" s="245">
        <v>109948486</v>
      </c>
      <c r="E122" t="s">
        <v>64</v>
      </c>
      <c r="F122" s="245">
        <v>14648625</v>
      </c>
      <c r="H122" t="s">
        <v>64</v>
      </c>
      <c r="I122" s="245">
        <v>-2569190</v>
      </c>
      <c r="K122" t="s">
        <v>64</v>
      </c>
      <c r="L122" s="251">
        <v>3931317</v>
      </c>
    </row>
    <row r="123" spans="2:12" ht="12.75">
      <c r="B123" t="s">
        <v>526</v>
      </c>
      <c r="C123" s="245">
        <f>+'ACC-DMSB'!C21</f>
        <v>4217427</v>
      </c>
      <c r="E123" t="s">
        <v>526</v>
      </c>
      <c r="F123" s="245">
        <f>+'ACC-DMSB'!D21</f>
        <v>1917171</v>
      </c>
      <c r="H123" t="s">
        <v>526</v>
      </c>
      <c r="I123" s="245">
        <f>+'ACC-DMSB'!E21</f>
        <v>41695</v>
      </c>
      <c r="K123" t="s">
        <v>526</v>
      </c>
      <c r="L123" s="251">
        <f>+'ACC-DMSB'!F21</f>
        <v>-247493</v>
      </c>
    </row>
    <row r="124" spans="3:12" ht="13.5" thickBot="1">
      <c r="C124" s="262">
        <f>SUM(C121:C123)</f>
        <v>134165913</v>
      </c>
      <c r="F124" s="262">
        <f>SUM(F121:F123)</f>
        <v>18565796</v>
      </c>
      <c r="I124" s="262">
        <f>SUM(I121:I123)</f>
        <v>-2127495</v>
      </c>
      <c r="L124" s="262">
        <f>SUM(L121:L123)</f>
        <v>18683824</v>
      </c>
    </row>
    <row r="125" spans="3:12" ht="12.75">
      <c r="C125" s="256"/>
      <c r="F125" s="256"/>
      <c r="I125" s="256"/>
      <c r="L125" s="257"/>
    </row>
    <row r="126" spans="3:12" ht="12.75">
      <c r="C126" s="256">
        <f>+C117-C124</f>
        <v>0</v>
      </c>
      <c r="F126" s="257">
        <f>+F117-F124</f>
        <v>0</v>
      </c>
      <c r="I126" s="256">
        <f>+I117-I124</f>
        <v>0</v>
      </c>
      <c r="L126" s="257">
        <f>+L117-L124</f>
        <v>0</v>
      </c>
    </row>
  </sheetData>
  <printOptions/>
  <pageMargins left="0.75" right="0.75" top="1" bottom="1" header="0.5" footer="0.5"/>
  <pageSetup horizontalDpi="300" verticalDpi="300" orientation="landscape" scale="55" r:id="rId1"/>
</worksheet>
</file>

<file path=xl/worksheets/sheet14.xml><?xml version="1.0" encoding="utf-8"?>
<worksheet xmlns="http://schemas.openxmlformats.org/spreadsheetml/2006/main" xmlns:r="http://schemas.openxmlformats.org/officeDocument/2006/relationships">
  <dimension ref="A1:AD72"/>
  <sheetViews>
    <sheetView zoomScale="75" zoomScaleNormal="75" workbookViewId="0" topLeftCell="A1">
      <selection activeCell="F6" sqref="F6"/>
    </sheetView>
  </sheetViews>
  <sheetFormatPr defaultColWidth="12.7109375" defaultRowHeight="12.75"/>
  <cols>
    <col min="1" max="1" width="35.7109375" style="212" customWidth="1"/>
    <col min="2" max="2" width="6.7109375" style="213" customWidth="1"/>
    <col min="3" max="3" width="14.421875" style="212" customWidth="1"/>
    <col min="4" max="4" width="15.7109375" style="212" customWidth="1"/>
    <col min="5" max="5" width="13.57421875" style="212" customWidth="1"/>
    <col min="6" max="6" width="14.421875" style="212" customWidth="1"/>
    <col min="7" max="7" width="14.140625" style="212" customWidth="1"/>
    <col min="8" max="8" width="8.8515625" style="212" customWidth="1"/>
    <col min="9" max="10" width="15.7109375" style="212" customWidth="1"/>
    <col min="11" max="11" width="0.13671875" style="212" customWidth="1"/>
    <col min="12" max="12" width="14.421875" style="212" customWidth="1"/>
    <col min="13" max="30" width="12.7109375" style="212" customWidth="1"/>
    <col min="31" max="16384" width="12.7109375" style="40" customWidth="1"/>
  </cols>
  <sheetData>
    <row r="1" spans="1:12" ht="15">
      <c r="A1" s="237"/>
      <c r="B1" s="227"/>
      <c r="C1" s="237"/>
      <c r="D1" s="237"/>
      <c r="E1" s="237"/>
      <c r="F1" s="237"/>
      <c r="G1" s="237"/>
      <c r="H1" s="237"/>
      <c r="I1" s="237"/>
      <c r="J1" s="237"/>
      <c r="K1" s="237"/>
      <c r="L1" s="237"/>
    </row>
    <row r="2" spans="1:12" ht="15">
      <c r="A2" s="237"/>
      <c r="B2" s="227"/>
      <c r="C2" s="237"/>
      <c r="D2" s="237"/>
      <c r="E2" s="237"/>
      <c r="F2" s="237"/>
      <c r="G2" s="237"/>
      <c r="H2" s="237"/>
      <c r="I2" s="237"/>
      <c r="J2" s="237"/>
      <c r="K2" s="237"/>
      <c r="L2" s="237"/>
    </row>
    <row r="3" spans="1:12" ht="15">
      <c r="A3" s="238"/>
      <c r="B3" s="227"/>
      <c r="C3" s="237"/>
      <c r="D3" s="237"/>
      <c r="E3" s="237"/>
      <c r="F3" s="237"/>
      <c r="G3" s="237"/>
      <c r="H3" s="237"/>
      <c r="I3" s="237"/>
      <c r="J3" s="237"/>
      <c r="K3" s="237"/>
      <c r="L3" s="237"/>
    </row>
    <row r="4" spans="1:12" ht="15">
      <c r="A4" s="237"/>
      <c r="B4" s="227"/>
      <c r="C4" s="237"/>
      <c r="D4" s="237"/>
      <c r="E4" s="237"/>
      <c r="F4" s="237"/>
      <c r="G4" s="237"/>
      <c r="H4" s="237"/>
      <c r="I4" s="237"/>
      <c r="J4" s="232"/>
      <c r="K4" s="237"/>
      <c r="L4" s="232"/>
    </row>
    <row r="5" spans="1:12" ht="15">
      <c r="A5" s="214"/>
      <c r="B5" s="215"/>
      <c r="C5" s="216"/>
      <c r="D5" s="216"/>
      <c r="E5" s="232"/>
      <c r="F5" s="232"/>
      <c r="G5" s="217"/>
      <c r="H5" s="217"/>
      <c r="I5" s="217"/>
      <c r="J5" s="217"/>
      <c r="K5" s="237"/>
      <c r="L5" s="217"/>
    </row>
    <row r="6" spans="1:30" s="223" customFormat="1" ht="15">
      <c r="A6" s="218"/>
      <c r="B6" s="219"/>
      <c r="C6" s="220"/>
      <c r="D6" s="220"/>
      <c r="E6" s="220"/>
      <c r="F6" s="220"/>
      <c r="G6" s="220"/>
      <c r="H6" s="220"/>
      <c r="I6" s="220"/>
      <c r="J6" s="221"/>
      <c r="K6" s="228"/>
      <c r="L6" s="221"/>
      <c r="M6" s="222"/>
      <c r="N6" s="222"/>
      <c r="O6" s="222"/>
      <c r="P6" s="222"/>
      <c r="Q6" s="222"/>
      <c r="R6" s="222"/>
      <c r="S6" s="222"/>
      <c r="T6" s="222"/>
      <c r="U6" s="222"/>
      <c r="V6" s="222"/>
      <c r="W6" s="222"/>
      <c r="X6" s="222"/>
      <c r="Y6" s="222"/>
      <c r="Z6" s="222"/>
      <c r="AA6" s="222"/>
      <c r="AB6" s="222"/>
      <c r="AC6" s="222"/>
      <c r="AD6" s="222"/>
    </row>
    <row r="7" spans="1:30" s="223" customFormat="1" ht="15">
      <c r="A7" s="224"/>
      <c r="B7" s="215"/>
      <c r="C7" s="217"/>
      <c r="D7" s="217"/>
      <c r="E7" s="217"/>
      <c r="F7" s="217"/>
      <c r="G7" s="217"/>
      <c r="H7" s="217"/>
      <c r="I7" s="217"/>
      <c r="J7" s="225"/>
      <c r="K7" s="228"/>
      <c r="L7" s="225"/>
      <c r="M7" s="222"/>
      <c r="N7" s="222"/>
      <c r="O7" s="222"/>
      <c r="P7" s="222"/>
      <c r="Q7" s="222"/>
      <c r="R7" s="222"/>
      <c r="S7" s="222"/>
      <c r="T7" s="222"/>
      <c r="U7" s="222"/>
      <c r="V7" s="222"/>
      <c r="W7" s="222"/>
      <c r="X7" s="222"/>
      <c r="Y7" s="222"/>
      <c r="Z7" s="222"/>
      <c r="AA7" s="222"/>
      <c r="AB7" s="222"/>
      <c r="AC7" s="222"/>
      <c r="AD7" s="222"/>
    </row>
    <row r="8" spans="1:30" s="223" customFormat="1" ht="15">
      <c r="A8" s="224"/>
      <c r="B8" s="215"/>
      <c r="C8" s="217"/>
      <c r="D8" s="217"/>
      <c r="E8" s="217"/>
      <c r="F8" s="217"/>
      <c r="G8" s="217"/>
      <c r="H8" s="217"/>
      <c r="I8" s="217"/>
      <c r="J8" s="217"/>
      <c r="K8" s="228"/>
      <c r="L8" s="217"/>
      <c r="M8" s="222"/>
      <c r="N8" s="222"/>
      <c r="O8" s="222"/>
      <c r="P8" s="222"/>
      <c r="Q8" s="222"/>
      <c r="R8" s="222"/>
      <c r="S8" s="222"/>
      <c r="T8" s="222"/>
      <c r="U8" s="222"/>
      <c r="V8" s="222"/>
      <c r="W8" s="222"/>
      <c r="X8" s="222"/>
      <c r="Y8" s="222"/>
      <c r="Z8" s="222"/>
      <c r="AA8" s="222"/>
      <c r="AB8" s="222"/>
      <c r="AC8" s="222"/>
      <c r="AD8" s="222"/>
    </row>
    <row r="9" spans="1:12" ht="15">
      <c r="A9" s="226"/>
      <c r="B9" s="227"/>
      <c r="C9" s="217"/>
      <c r="D9" s="228"/>
      <c r="E9" s="237"/>
      <c r="F9" s="237"/>
      <c r="G9" s="237"/>
      <c r="H9" s="237"/>
      <c r="I9" s="237"/>
      <c r="J9" s="237"/>
      <c r="K9" s="237"/>
      <c r="L9" s="237"/>
    </row>
    <row r="10" spans="1:12" ht="15">
      <c r="A10" s="226"/>
      <c r="B10" s="227"/>
      <c r="C10" s="217"/>
      <c r="D10" s="228"/>
      <c r="E10" s="237"/>
      <c r="F10" s="237"/>
      <c r="G10" s="237"/>
      <c r="H10" s="237"/>
      <c r="I10" s="237"/>
      <c r="J10" s="237"/>
      <c r="K10" s="237"/>
      <c r="L10" s="237"/>
    </row>
    <row r="11" spans="1:12" ht="15">
      <c r="A11" s="226"/>
      <c r="B11" s="227"/>
      <c r="C11" s="217"/>
      <c r="D11" s="228"/>
      <c r="E11" s="237"/>
      <c r="F11" s="237"/>
      <c r="G11" s="237"/>
      <c r="H11" s="237"/>
      <c r="I11" s="237"/>
      <c r="J11" s="237"/>
      <c r="K11" s="237"/>
      <c r="L11" s="237"/>
    </row>
    <row r="12" spans="1:12" ht="15">
      <c r="A12" s="226"/>
      <c r="B12" s="227"/>
      <c r="C12" s="217"/>
      <c r="D12" s="217"/>
      <c r="E12" s="217"/>
      <c r="F12" s="217"/>
      <c r="G12" s="217"/>
      <c r="H12" s="217"/>
      <c r="I12" s="217"/>
      <c r="J12" s="217"/>
      <c r="K12" s="237"/>
      <c r="L12" s="217"/>
    </row>
    <row r="13" spans="1:12" ht="15">
      <c r="A13" s="226"/>
      <c r="B13" s="227"/>
      <c r="C13" s="217"/>
      <c r="D13" s="217"/>
      <c r="E13" s="217"/>
      <c r="F13" s="217"/>
      <c r="G13" s="217"/>
      <c r="H13" s="217"/>
      <c r="I13" s="217"/>
      <c r="J13" s="217"/>
      <c r="K13" s="237"/>
      <c r="L13" s="217"/>
    </row>
    <row r="14" spans="1:12" ht="15">
      <c r="A14" s="226"/>
      <c r="B14" s="227"/>
      <c r="C14" s="217"/>
      <c r="D14" s="217"/>
      <c r="E14" s="217"/>
      <c r="F14" s="217"/>
      <c r="G14" s="217"/>
      <c r="H14" s="217"/>
      <c r="I14" s="217"/>
      <c r="J14" s="217"/>
      <c r="K14" s="237"/>
      <c r="L14" s="217"/>
    </row>
    <row r="15" spans="1:12" ht="15">
      <c r="A15" s="226"/>
      <c r="B15" s="227"/>
      <c r="C15" s="217"/>
      <c r="D15" s="217"/>
      <c r="E15" s="217"/>
      <c r="F15" s="217"/>
      <c r="G15" s="217"/>
      <c r="H15" s="217"/>
      <c r="I15" s="217"/>
      <c r="J15" s="217"/>
      <c r="K15" s="237"/>
      <c r="L15" s="217"/>
    </row>
    <row r="16" spans="1:12" ht="15">
      <c r="A16" s="226"/>
      <c r="B16" s="227"/>
      <c r="C16" s="217"/>
      <c r="D16" s="217"/>
      <c r="E16" s="217"/>
      <c r="F16" s="217"/>
      <c r="G16" s="217"/>
      <c r="H16" s="217"/>
      <c r="I16" s="217"/>
      <c r="J16" s="217"/>
      <c r="K16" s="237"/>
      <c r="L16" s="217"/>
    </row>
    <row r="17" spans="1:12" ht="15">
      <c r="A17" s="226"/>
      <c r="B17" s="227"/>
      <c r="C17" s="217"/>
      <c r="D17" s="217"/>
      <c r="E17" s="217"/>
      <c r="F17" s="217"/>
      <c r="G17" s="217"/>
      <c r="H17" s="217"/>
      <c r="I17" s="217"/>
      <c r="J17" s="217"/>
      <c r="K17" s="237"/>
      <c r="L17" s="217"/>
    </row>
    <row r="18" spans="1:12" ht="15">
      <c r="A18" s="226"/>
      <c r="B18" s="227"/>
      <c r="C18" s="230"/>
      <c r="D18" s="230"/>
      <c r="E18" s="230"/>
      <c r="F18" s="230"/>
      <c r="G18" s="217"/>
      <c r="H18" s="217"/>
      <c r="I18" s="217"/>
      <c r="J18" s="217"/>
      <c r="K18" s="237"/>
      <c r="L18" s="217"/>
    </row>
    <row r="19" spans="1:12" ht="15">
      <c r="A19" s="231"/>
      <c r="B19" s="232"/>
      <c r="C19" s="217"/>
      <c r="D19" s="217"/>
      <c r="E19" s="217"/>
      <c r="F19" s="217"/>
      <c r="G19" s="217"/>
      <c r="H19" s="217"/>
      <c r="I19" s="217"/>
      <c r="J19" s="217"/>
      <c r="K19" s="237"/>
      <c r="L19" s="217"/>
    </row>
    <row r="20" spans="1:12" ht="15">
      <c r="A20" s="231"/>
      <c r="B20" s="232"/>
      <c r="C20" s="217"/>
      <c r="D20" s="217"/>
      <c r="E20" s="217"/>
      <c r="F20" s="217"/>
      <c r="G20" s="217"/>
      <c r="H20" s="217"/>
      <c r="I20" s="217"/>
      <c r="J20" s="217"/>
      <c r="K20" s="237"/>
      <c r="L20" s="217"/>
    </row>
    <row r="21" spans="1:12" ht="15">
      <c r="A21" s="226"/>
      <c r="B21" s="227"/>
      <c r="C21" s="217"/>
      <c r="D21" s="217"/>
      <c r="E21" s="217"/>
      <c r="F21" s="217"/>
      <c r="G21" s="217"/>
      <c r="H21" s="217"/>
      <c r="I21" s="217"/>
      <c r="J21" s="217"/>
      <c r="K21" s="237"/>
      <c r="L21" s="217"/>
    </row>
    <row r="22" spans="1:12" ht="15">
      <c r="A22" s="226"/>
      <c r="B22" s="227"/>
      <c r="C22" s="217"/>
      <c r="D22" s="217"/>
      <c r="E22" s="217"/>
      <c r="F22" s="217"/>
      <c r="G22" s="237"/>
      <c r="H22" s="237"/>
      <c r="I22" s="237"/>
      <c r="J22" s="237"/>
      <c r="K22" s="237"/>
      <c r="L22" s="237"/>
    </row>
    <row r="23" spans="1:12" ht="15">
      <c r="A23" s="226"/>
      <c r="B23" s="227"/>
      <c r="C23" s="217"/>
      <c r="D23" s="217"/>
      <c r="E23" s="217"/>
      <c r="F23" s="217"/>
      <c r="G23" s="237"/>
      <c r="H23" s="237"/>
      <c r="I23" s="237"/>
      <c r="J23" s="237"/>
      <c r="K23" s="237"/>
      <c r="L23" s="237"/>
    </row>
    <row r="24" spans="1:12" ht="15">
      <c r="A24" s="226"/>
      <c r="B24" s="227"/>
      <c r="C24" s="217"/>
      <c r="D24" s="217"/>
      <c r="E24" s="217"/>
      <c r="F24" s="217"/>
      <c r="G24" s="237"/>
      <c r="H24" s="237"/>
      <c r="I24" s="237"/>
      <c r="J24" s="237"/>
      <c r="K24" s="237"/>
      <c r="L24" s="237"/>
    </row>
    <row r="25" spans="1:12" ht="15">
      <c r="A25" s="231"/>
      <c r="B25" s="232"/>
      <c r="C25" s="217"/>
      <c r="D25" s="217"/>
      <c r="E25" s="217"/>
      <c r="F25" s="217"/>
      <c r="G25" s="217"/>
      <c r="H25" s="217"/>
      <c r="I25" s="217"/>
      <c r="J25" s="217"/>
      <c r="K25" s="237"/>
      <c r="L25" s="217"/>
    </row>
    <row r="26" spans="1:12" ht="15">
      <c r="A26" s="226"/>
      <c r="B26" s="227"/>
      <c r="C26" s="217"/>
      <c r="D26" s="217"/>
      <c r="E26" s="217"/>
      <c r="F26" s="217"/>
      <c r="G26" s="217"/>
      <c r="H26" s="217"/>
      <c r="I26" s="217"/>
      <c r="J26" s="217"/>
      <c r="K26" s="237"/>
      <c r="L26" s="217"/>
    </row>
    <row r="27" spans="1:12" ht="15">
      <c r="A27" s="226"/>
      <c r="B27" s="227"/>
      <c r="C27" s="217"/>
      <c r="D27" s="217"/>
      <c r="E27" s="217"/>
      <c r="F27" s="217"/>
      <c r="G27" s="217"/>
      <c r="H27" s="217"/>
      <c r="I27" s="217"/>
      <c r="J27" s="217"/>
      <c r="K27" s="237"/>
      <c r="L27" s="217"/>
    </row>
    <row r="28" spans="1:12" ht="15">
      <c r="A28" s="226"/>
      <c r="B28" s="227"/>
      <c r="C28" s="230"/>
      <c r="D28" s="230"/>
      <c r="E28" s="230"/>
      <c r="F28" s="230"/>
      <c r="G28" s="217"/>
      <c r="H28" s="217"/>
      <c r="I28" s="217"/>
      <c r="J28" s="217"/>
      <c r="K28" s="237"/>
      <c r="L28" s="217"/>
    </row>
    <row r="29" spans="1:12" ht="15">
      <c r="A29" s="226"/>
      <c r="B29" s="227"/>
      <c r="C29" s="217"/>
      <c r="D29" s="217"/>
      <c r="E29" s="217"/>
      <c r="F29" s="217"/>
      <c r="G29" s="217"/>
      <c r="H29" s="217"/>
      <c r="I29" s="217"/>
      <c r="J29" s="217"/>
      <c r="K29" s="237"/>
      <c r="L29" s="217"/>
    </row>
    <row r="30" spans="1:12" ht="15">
      <c r="A30" s="231"/>
      <c r="B30" s="232"/>
      <c r="C30" s="217"/>
      <c r="D30" s="217"/>
      <c r="E30" s="217"/>
      <c r="F30" s="217"/>
      <c r="G30" s="217"/>
      <c r="H30" s="217"/>
      <c r="I30" s="217"/>
      <c r="J30" s="217"/>
      <c r="K30" s="237"/>
      <c r="L30" s="217"/>
    </row>
    <row r="31" spans="1:12" ht="15">
      <c r="A31" s="226"/>
      <c r="B31" s="227"/>
      <c r="C31" s="217"/>
      <c r="D31" s="217"/>
      <c r="E31" s="217"/>
      <c r="F31" s="217"/>
      <c r="G31" s="217"/>
      <c r="H31" s="217"/>
      <c r="I31" s="217"/>
      <c r="J31" s="217"/>
      <c r="K31" s="237"/>
      <c r="L31" s="217"/>
    </row>
    <row r="32" spans="1:12" ht="15">
      <c r="A32" s="226"/>
      <c r="B32" s="227"/>
      <c r="C32" s="217"/>
      <c r="D32" s="217"/>
      <c r="E32" s="217"/>
      <c r="F32" s="217"/>
      <c r="G32" s="217"/>
      <c r="H32" s="217"/>
      <c r="I32" s="217"/>
      <c r="J32" s="217"/>
      <c r="K32" s="237"/>
      <c r="L32" s="217"/>
    </row>
    <row r="33" spans="1:12" ht="15">
      <c r="A33" s="226"/>
      <c r="B33" s="227"/>
      <c r="C33" s="217"/>
      <c r="D33" s="217"/>
      <c r="E33" s="217"/>
      <c r="F33" s="217"/>
      <c r="G33" s="237"/>
      <c r="H33" s="237"/>
      <c r="I33" s="237"/>
      <c r="J33" s="237"/>
      <c r="K33" s="237"/>
      <c r="L33" s="217"/>
    </row>
    <row r="34" spans="1:12" ht="15">
      <c r="A34" s="226"/>
      <c r="B34" s="227"/>
      <c r="C34" s="217"/>
      <c r="D34" s="217"/>
      <c r="E34" s="217"/>
      <c r="F34" s="217"/>
      <c r="G34" s="237"/>
      <c r="H34" s="237"/>
      <c r="I34" s="237"/>
      <c r="J34" s="237"/>
      <c r="K34" s="237"/>
      <c r="L34" s="217"/>
    </row>
    <row r="35" spans="1:12" ht="15">
      <c r="A35" s="226"/>
      <c r="B35" s="227"/>
      <c r="C35" s="217"/>
      <c r="D35" s="217"/>
      <c r="E35" s="217"/>
      <c r="F35" s="217"/>
      <c r="G35" s="237"/>
      <c r="H35" s="237"/>
      <c r="I35" s="237"/>
      <c r="J35" s="237"/>
      <c r="K35" s="237"/>
      <c r="L35" s="217"/>
    </row>
    <row r="36" spans="1:12" ht="15">
      <c r="A36" s="226"/>
      <c r="B36" s="227"/>
      <c r="C36" s="217"/>
      <c r="D36" s="217"/>
      <c r="E36" s="217"/>
      <c r="F36" s="217"/>
      <c r="G36" s="237"/>
      <c r="H36" s="237"/>
      <c r="I36" s="237"/>
      <c r="J36" s="237"/>
      <c r="K36" s="237"/>
      <c r="L36" s="217"/>
    </row>
    <row r="37" spans="1:12" ht="15">
      <c r="A37" s="226"/>
      <c r="B37" s="227"/>
      <c r="C37" s="217"/>
      <c r="D37" s="217"/>
      <c r="E37" s="217"/>
      <c r="F37" s="217"/>
      <c r="G37" s="237"/>
      <c r="H37" s="237"/>
      <c r="I37" s="237"/>
      <c r="J37" s="237"/>
      <c r="K37" s="237"/>
      <c r="L37" s="217"/>
    </row>
    <row r="38" spans="1:12" ht="15">
      <c r="A38" s="226"/>
      <c r="B38" s="227"/>
      <c r="C38" s="217"/>
      <c r="D38" s="217"/>
      <c r="E38" s="217"/>
      <c r="F38" s="217"/>
      <c r="G38" s="237"/>
      <c r="H38" s="237"/>
      <c r="I38" s="237"/>
      <c r="J38" s="237"/>
      <c r="K38" s="237"/>
      <c r="L38" s="217"/>
    </row>
    <row r="39" spans="1:12" ht="15">
      <c r="A39" s="226"/>
      <c r="B39" s="227"/>
      <c r="C39" s="217"/>
      <c r="D39" s="217"/>
      <c r="E39" s="217"/>
      <c r="F39" s="217"/>
      <c r="G39" s="237"/>
      <c r="H39" s="237"/>
      <c r="I39" s="237"/>
      <c r="J39" s="237"/>
      <c r="K39" s="237"/>
      <c r="L39" s="217"/>
    </row>
    <row r="40" spans="1:12" ht="15">
      <c r="A40" s="226"/>
      <c r="B40" s="227"/>
      <c r="C40" s="217"/>
      <c r="D40" s="217"/>
      <c r="E40" s="217"/>
      <c r="F40" s="217"/>
      <c r="G40" s="237"/>
      <c r="H40" s="237"/>
      <c r="I40" s="237"/>
      <c r="J40" s="237"/>
      <c r="K40" s="237"/>
      <c r="L40" s="217"/>
    </row>
    <row r="41" spans="1:12" ht="15">
      <c r="A41" s="226"/>
      <c r="B41" s="227"/>
      <c r="C41" s="217"/>
      <c r="D41" s="217"/>
      <c r="E41" s="217"/>
      <c r="F41" s="217"/>
      <c r="G41" s="217"/>
      <c r="H41" s="217"/>
      <c r="I41" s="217"/>
      <c r="J41" s="217"/>
      <c r="K41" s="237"/>
      <c r="L41" s="217"/>
    </row>
    <row r="42" spans="1:12" ht="15">
      <c r="A42" s="226"/>
      <c r="B42" s="227"/>
      <c r="C42" s="230"/>
      <c r="D42" s="230"/>
      <c r="E42" s="230"/>
      <c r="F42" s="230"/>
      <c r="G42" s="230"/>
      <c r="H42" s="230"/>
      <c r="I42" s="230"/>
      <c r="J42" s="230"/>
      <c r="K42" s="237"/>
      <c r="L42" s="217"/>
    </row>
    <row r="43" spans="1:12" ht="15">
      <c r="A43" s="226"/>
      <c r="B43" s="227"/>
      <c r="C43" s="217"/>
      <c r="D43" s="217"/>
      <c r="E43" s="217"/>
      <c r="F43" s="217"/>
      <c r="G43" s="217"/>
      <c r="H43" s="217"/>
      <c r="I43" s="217"/>
      <c r="J43" s="217"/>
      <c r="K43" s="237"/>
      <c r="L43" s="217"/>
    </row>
    <row r="44" spans="1:12" ht="15">
      <c r="A44" s="226"/>
      <c r="B44" s="227"/>
      <c r="C44" s="217"/>
      <c r="D44" s="217"/>
      <c r="E44" s="217"/>
      <c r="F44" s="217"/>
      <c r="G44" s="217"/>
      <c r="H44" s="217"/>
      <c r="I44" s="217"/>
      <c r="J44" s="217"/>
      <c r="K44" s="237"/>
      <c r="L44" s="217"/>
    </row>
    <row r="45" spans="1:12" ht="15">
      <c r="A45" s="226"/>
      <c r="B45" s="227"/>
      <c r="C45" s="217"/>
      <c r="D45" s="217"/>
      <c r="E45" s="217"/>
      <c r="F45" s="217"/>
      <c r="G45" s="217"/>
      <c r="H45" s="217"/>
      <c r="I45" s="217"/>
      <c r="J45" s="217"/>
      <c r="K45" s="237"/>
      <c r="L45" s="217"/>
    </row>
    <row r="46" spans="1:12" ht="15">
      <c r="A46" s="226"/>
      <c r="B46" s="227"/>
      <c r="C46" s="217"/>
      <c r="D46" s="217"/>
      <c r="E46" s="217"/>
      <c r="F46" s="217"/>
      <c r="G46" s="217"/>
      <c r="H46" s="217"/>
      <c r="I46" s="217"/>
      <c r="J46" s="217"/>
      <c r="K46" s="237"/>
      <c r="L46" s="217"/>
    </row>
    <row r="47" spans="1:12" ht="15">
      <c r="A47" s="226"/>
      <c r="B47" s="227"/>
      <c r="C47" s="217"/>
      <c r="D47" s="217"/>
      <c r="E47" s="217"/>
      <c r="F47" s="217"/>
      <c r="G47" s="217"/>
      <c r="H47" s="217"/>
      <c r="I47" s="217"/>
      <c r="J47" s="217"/>
      <c r="K47" s="237"/>
      <c r="L47" s="217"/>
    </row>
    <row r="48" spans="1:12" ht="15">
      <c r="A48" s="226"/>
      <c r="B48" s="227"/>
      <c r="C48" s="217"/>
      <c r="D48" s="217"/>
      <c r="E48" s="217"/>
      <c r="F48" s="217"/>
      <c r="G48" s="217"/>
      <c r="H48" s="217"/>
      <c r="I48" s="217"/>
      <c r="J48" s="217"/>
      <c r="K48" s="237"/>
      <c r="L48" s="217"/>
    </row>
    <row r="49" spans="1:12" ht="15">
      <c r="A49" s="226"/>
      <c r="B49" s="227"/>
      <c r="C49" s="217"/>
      <c r="D49" s="217"/>
      <c r="E49" s="217"/>
      <c r="F49" s="217"/>
      <c r="G49" s="217"/>
      <c r="H49" s="217"/>
      <c r="I49" s="217"/>
      <c r="J49" s="217"/>
      <c r="K49" s="237"/>
      <c r="L49" s="217"/>
    </row>
    <row r="50" spans="1:12" ht="15">
      <c r="A50" s="226"/>
      <c r="B50" s="227"/>
      <c r="C50" s="217"/>
      <c r="D50" s="228"/>
      <c r="E50" s="237"/>
      <c r="F50" s="237"/>
      <c r="G50" s="237"/>
      <c r="H50" s="237"/>
      <c r="I50" s="237"/>
      <c r="J50" s="237"/>
      <c r="K50" s="237"/>
      <c r="L50" s="217"/>
    </row>
    <row r="51" spans="1:12" ht="15">
      <c r="A51" s="226"/>
      <c r="B51" s="227"/>
      <c r="C51" s="217"/>
      <c r="D51" s="228"/>
      <c r="E51" s="237"/>
      <c r="F51" s="237"/>
      <c r="G51" s="237"/>
      <c r="H51" s="237"/>
      <c r="I51" s="237"/>
      <c r="J51" s="237"/>
      <c r="K51" s="237"/>
      <c r="L51" s="217"/>
    </row>
    <row r="52" spans="1:12" ht="15">
      <c r="A52" s="226"/>
      <c r="B52" s="227"/>
      <c r="C52" s="217"/>
      <c r="D52" s="228"/>
      <c r="E52" s="237"/>
      <c r="F52" s="237"/>
      <c r="G52" s="237"/>
      <c r="H52" s="237"/>
      <c r="I52" s="237"/>
      <c r="J52" s="237"/>
      <c r="K52" s="237"/>
      <c r="L52" s="217"/>
    </row>
    <row r="53" spans="1:12" ht="15">
      <c r="A53" s="226"/>
      <c r="B53" s="227"/>
      <c r="C53" s="217"/>
      <c r="D53" s="228"/>
      <c r="E53" s="217"/>
      <c r="F53" s="237"/>
      <c r="G53" s="217"/>
      <c r="H53" s="217"/>
      <c r="I53" s="217"/>
      <c r="J53" s="217"/>
      <c r="K53" s="237"/>
      <c r="L53" s="217"/>
    </row>
    <row r="54" spans="1:12" ht="15">
      <c r="A54" s="226"/>
      <c r="B54" s="227"/>
      <c r="C54" s="217"/>
      <c r="D54" s="217"/>
      <c r="E54" s="217"/>
      <c r="F54" s="217"/>
      <c r="G54" s="217"/>
      <c r="H54" s="217"/>
      <c r="I54" s="217"/>
      <c r="J54" s="217"/>
      <c r="K54" s="237"/>
      <c r="L54" s="217"/>
    </row>
    <row r="55" spans="1:12" ht="15">
      <c r="A55" s="226"/>
      <c r="B55" s="227"/>
      <c r="C55" s="217"/>
      <c r="D55" s="217"/>
      <c r="E55" s="217"/>
      <c r="F55" s="217"/>
      <c r="G55" s="217"/>
      <c r="H55" s="217"/>
      <c r="I55" s="217"/>
      <c r="J55" s="217"/>
      <c r="K55" s="237"/>
      <c r="L55" s="217"/>
    </row>
    <row r="56" spans="1:12" ht="15">
      <c r="A56" s="226"/>
      <c r="B56" s="227"/>
      <c r="C56" s="217"/>
      <c r="D56" s="228"/>
      <c r="E56" s="237"/>
      <c r="F56" s="237"/>
      <c r="G56" s="237"/>
      <c r="H56" s="237"/>
      <c r="I56" s="237"/>
      <c r="J56" s="237"/>
      <c r="K56" s="237"/>
      <c r="L56" s="237"/>
    </row>
    <row r="57" spans="1:12" ht="15">
      <c r="A57" s="226"/>
      <c r="B57" s="227"/>
      <c r="C57" s="217"/>
      <c r="D57" s="217"/>
      <c r="E57" s="217"/>
      <c r="F57" s="217"/>
      <c r="G57" s="217"/>
      <c r="H57" s="217"/>
      <c r="I57" s="217"/>
      <c r="J57" s="217"/>
      <c r="K57" s="237"/>
      <c r="L57" s="217"/>
    </row>
    <row r="58" spans="1:12" ht="15">
      <c r="A58" s="237"/>
      <c r="B58" s="227"/>
      <c r="C58" s="237"/>
      <c r="D58" s="237"/>
      <c r="E58" s="237"/>
      <c r="F58" s="237"/>
      <c r="G58" s="237"/>
      <c r="H58" s="237"/>
      <c r="I58" s="237"/>
      <c r="J58" s="237"/>
      <c r="K58" s="237"/>
      <c r="L58" s="237"/>
    </row>
    <row r="59" spans="1:12" ht="15">
      <c r="A59" s="237"/>
      <c r="B59" s="227"/>
      <c r="C59" s="237"/>
      <c r="D59" s="237"/>
      <c r="E59" s="237"/>
      <c r="F59" s="237"/>
      <c r="G59" s="237"/>
      <c r="H59" s="237"/>
      <c r="I59" s="237"/>
      <c r="J59" s="237"/>
      <c r="K59" s="237"/>
      <c r="L59" s="237"/>
    </row>
    <row r="60" spans="1:12" ht="15">
      <c r="A60" s="237"/>
      <c r="B60" s="227"/>
      <c r="C60" s="237"/>
      <c r="D60" s="237"/>
      <c r="E60" s="237"/>
      <c r="F60" s="237"/>
      <c r="G60" s="237"/>
      <c r="H60" s="237"/>
      <c r="I60" s="237"/>
      <c r="J60" s="237"/>
      <c r="K60" s="237"/>
      <c r="L60" s="237"/>
    </row>
    <row r="61" spans="1:12" ht="15">
      <c r="A61" s="237"/>
      <c r="B61" s="227"/>
      <c r="C61" s="237"/>
      <c r="D61" s="237"/>
      <c r="E61" s="237"/>
      <c r="F61" s="237"/>
      <c r="G61" s="237"/>
      <c r="H61" s="237"/>
      <c r="I61" s="237"/>
      <c r="J61" s="237"/>
      <c r="K61" s="237"/>
      <c r="L61" s="237"/>
    </row>
    <row r="62" spans="1:12" ht="15">
      <c r="A62" s="237"/>
      <c r="B62" s="227"/>
      <c r="C62" s="237"/>
      <c r="D62" s="237"/>
      <c r="E62" s="237"/>
      <c r="F62" s="237"/>
      <c r="G62" s="237"/>
      <c r="H62" s="237"/>
      <c r="I62" s="237"/>
      <c r="J62" s="237"/>
      <c r="K62" s="237"/>
      <c r="L62" s="237"/>
    </row>
    <row r="63" spans="1:12" ht="15">
      <c r="A63" s="237"/>
      <c r="B63" s="227"/>
      <c r="C63" s="237"/>
      <c r="D63" s="237"/>
      <c r="E63" s="237"/>
      <c r="F63" s="237"/>
      <c r="G63" s="237"/>
      <c r="H63" s="237"/>
      <c r="I63" s="237"/>
      <c r="J63" s="237"/>
      <c r="K63" s="237"/>
      <c r="L63" s="237"/>
    </row>
    <row r="64" spans="1:12" ht="15">
      <c r="A64" s="237"/>
      <c r="B64" s="227"/>
      <c r="C64" s="237"/>
      <c r="D64" s="237"/>
      <c r="E64" s="237"/>
      <c r="F64" s="237"/>
      <c r="G64" s="237"/>
      <c r="H64" s="237"/>
      <c r="I64" s="237"/>
      <c r="J64" s="237"/>
      <c r="K64" s="237"/>
      <c r="L64" s="237"/>
    </row>
    <row r="65" spans="1:12" ht="15">
      <c r="A65" s="237"/>
      <c r="B65" s="227"/>
      <c r="C65" s="237"/>
      <c r="D65" s="237"/>
      <c r="E65" s="237"/>
      <c r="F65" s="237"/>
      <c r="G65" s="237"/>
      <c r="H65" s="237"/>
      <c r="I65" s="237"/>
      <c r="J65" s="237"/>
      <c r="K65" s="237"/>
      <c r="L65" s="237"/>
    </row>
    <row r="66" spans="1:12" ht="15">
      <c r="A66" s="237"/>
      <c r="B66" s="227"/>
      <c r="C66" s="237"/>
      <c r="D66" s="237"/>
      <c r="E66" s="237"/>
      <c r="F66" s="237"/>
      <c r="G66" s="237"/>
      <c r="H66" s="237"/>
      <c r="I66" s="237"/>
      <c r="J66" s="237"/>
      <c r="K66" s="237"/>
      <c r="L66" s="237"/>
    </row>
    <row r="67" spans="1:12" ht="15">
      <c r="A67" s="237"/>
      <c r="B67" s="227"/>
      <c r="C67" s="237"/>
      <c r="D67" s="237"/>
      <c r="E67" s="237"/>
      <c r="F67" s="237"/>
      <c r="G67" s="237"/>
      <c r="H67" s="237"/>
      <c r="I67" s="237"/>
      <c r="J67" s="237"/>
      <c r="K67" s="237"/>
      <c r="L67" s="237"/>
    </row>
    <row r="68" spans="1:12" ht="15">
      <c r="A68" s="237"/>
      <c r="B68" s="227"/>
      <c r="C68" s="237"/>
      <c r="D68" s="237"/>
      <c r="E68" s="237"/>
      <c r="F68" s="237"/>
      <c r="G68" s="237"/>
      <c r="H68" s="237"/>
      <c r="I68" s="237"/>
      <c r="J68" s="237"/>
      <c r="K68" s="237"/>
      <c r="L68" s="237"/>
    </row>
    <row r="69" spans="1:12" ht="15">
      <c r="A69" s="237"/>
      <c r="B69" s="227"/>
      <c r="C69" s="237"/>
      <c r="D69" s="237"/>
      <c r="E69" s="237"/>
      <c r="F69" s="237"/>
      <c r="G69" s="237"/>
      <c r="H69" s="237"/>
      <c r="I69" s="237"/>
      <c r="J69" s="237"/>
      <c r="K69" s="237"/>
      <c r="L69" s="237"/>
    </row>
    <row r="70" spans="1:12" ht="15">
      <c r="A70" s="237"/>
      <c r="B70" s="227"/>
      <c r="C70" s="237"/>
      <c r="D70" s="237"/>
      <c r="E70" s="237"/>
      <c r="F70" s="237"/>
      <c r="G70" s="237"/>
      <c r="H70" s="237"/>
      <c r="I70" s="237"/>
      <c r="J70" s="237"/>
      <c r="K70" s="237"/>
      <c r="L70" s="237"/>
    </row>
    <row r="71" spans="1:12" ht="15">
      <c r="A71" s="237"/>
      <c r="B71" s="227"/>
      <c r="C71" s="237"/>
      <c r="D71" s="237"/>
      <c r="E71" s="237"/>
      <c r="F71" s="237"/>
      <c r="G71" s="237"/>
      <c r="H71" s="237"/>
      <c r="I71" s="237"/>
      <c r="J71" s="237"/>
      <c r="K71" s="237"/>
      <c r="L71" s="237"/>
    </row>
    <row r="72" spans="1:12" ht="15">
      <c r="A72" s="237"/>
      <c r="B72" s="227"/>
      <c r="C72" s="237"/>
      <c r="D72" s="237"/>
      <c r="E72" s="237"/>
      <c r="F72" s="237"/>
      <c r="G72" s="237"/>
      <c r="H72" s="237"/>
      <c r="I72" s="237"/>
      <c r="J72" s="237"/>
      <c r="K72" s="237"/>
      <c r="L72" s="237"/>
    </row>
  </sheetData>
  <printOptions/>
  <pageMargins left="0.75" right="0.75" top="1" bottom="1" header="0.5" footer="0.5"/>
  <pageSetup horizontalDpi="300" verticalDpi="300" orientation="portrait" r:id="rId1"/>
</worksheet>
</file>

<file path=xl/worksheets/sheet15.xml><?xml version="1.0" encoding="utf-8"?>
<worksheet xmlns="http://schemas.openxmlformats.org/spreadsheetml/2006/main" xmlns:r="http://schemas.openxmlformats.org/officeDocument/2006/relationships">
  <dimension ref="A1:D27"/>
  <sheetViews>
    <sheetView zoomScale="75" zoomScaleNormal="75" workbookViewId="0" topLeftCell="A1">
      <selection activeCell="G7" sqref="G7"/>
    </sheetView>
  </sheetViews>
  <sheetFormatPr defaultColWidth="9.140625" defaultRowHeight="12.75"/>
  <cols>
    <col min="1" max="1" width="35.7109375" style="0" customWidth="1"/>
    <col min="2" max="4" width="15.7109375" style="0" customWidth="1"/>
  </cols>
  <sheetData>
    <row r="1" ht="12.75">
      <c r="A1" s="4" t="s">
        <v>397</v>
      </c>
    </row>
    <row r="2" ht="12.75">
      <c r="A2" s="4" t="s">
        <v>394</v>
      </c>
    </row>
    <row r="3" ht="12.75">
      <c r="A3" s="146" t="s">
        <v>531</v>
      </c>
    </row>
    <row r="5" spans="1:3" ht="12.75">
      <c r="A5" s="147"/>
      <c r="B5" s="6"/>
      <c r="C5" s="6"/>
    </row>
    <row r="6" spans="1:4" ht="12.75">
      <c r="A6" s="148"/>
      <c r="B6" s="149" t="s">
        <v>398</v>
      </c>
      <c r="C6" s="149" t="s">
        <v>399</v>
      </c>
      <c r="D6" s="149" t="s">
        <v>150</v>
      </c>
    </row>
    <row r="7" spans="1:4" ht="12.75">
      <c r="A7" s="150"/>
      <c r="B7" s="151" t="s">
        <v>532</v>
      </c>
      <c r="C7" s="151" t="s">
        <v>533</v>
      </c>
      <c r="D7" s="151" t="s">
        <v>534</v>
      </c>
    </row>
    <row r="8" spans="1:4" ht="12.75">
      <c r="A8" s="150"/>
      <c r="B8" s="169"/>
      <c r="C8" s="166"/>
      <c r="D8" s="153"/>
    </row>
    <row r="9" spans="1:4" ht="12.75">
      <c r="A9" s="152"/>
      <c r="B9" s="168" t="s">
        <v>202</v>
      </c>
      <c r="C9" s="167" t="s">
        <v>202</v>
      </c>
      <c r="D9" s="167" t="s">
        <v>202</v>
      </c>
    </row>
    <row r="10" spans="1:4" ht="12.75">
      <c r="A10" s="152" t="s">
        <v>3</v>
      </c>
      <c r="B10" s="154">
        <f>17370000+3644000+18986000+2915000</f>
        <v>42915000</v>
      </c>
      <c r="C10" s="170">
        <f>+B10/2</f>
        <v>21457500</v>
      </c>
      <c r="D10" s="155">
        <f>+B10+C10</f>
        <v>64372500</v>
      </c>
    </row>
    <row r="11" spans="1:4" ht="12.75">
      <c r="A11" s="152"/>
      <c r="B11" s="154"/>
      <c r="C11" s="155"/>
      <c r="D11" s="153"/>
    </row>
    <row r="12" spans="1:4" ht="12.75">
      <c r="A12" s="152" t="s">
        <v>400</v>
      </c>
      <c r="B12" s="266">
        <f>887000+758000</f>
        <v>1645000</v>
      </c>
      <c r="C12" s="170">
        <f>+B12/2</f>
        <v>822500</v>
      </c>
      <c r="D12" s="155">
        <f>+B12+C12</f>
        <v>2467500</v>
      </c>
    </row>
    <row r="13" spans="1:4" ht="12.75">
      <c r="A13" s="152"/>
      <c r="B13" s="154"/>
      <c r="C13" s="155"/>
      <c r="D13" s="153"/>
    </row>
    <row r="14" spans="1:4" ht="12.75">
      <c r="A14" s="152" t="s">
        <v>401</v>
      </c>
      <c r="B14" s="156">
        <f>-B12*0.33</f>
        <v>-542850</v>
      </c>
      <c r="C14" s="157">
        <f>-C12*0.33</f>
        <v>-271425</v>
      </c>
      <c r="D14" s="157">
        <f>-D12*0.33</f>
        <v>-814275</v>
      </c>
    </row>
    <row r="15" spans="1:4" ht="12.75">
      <c r="A15" s="152"/>
      <c r="B15" s="154"/>
      <c r="C15" s="155"/>
      <c r="D15" s="153"/>
    </row>
    <row r="16" spans="1:4" ht="12.75">
      <c r="A16" s="152" t="s">
        <v>402</v>
      </c>
      <c r="B16" s="154">
        <f>SUM(B12:B14)</f>
        <v>1102150</v>
      </c>
      <c r="C16" s="155">
        <f>SUM(C12:C14)</f>
        <v>551075</v>
      </c>
      <c r="D16" s="155">
        <f>+D12+D14</f>
        <v>1653225</v>
      </c>
    </row>
    <row r="17" spans="1:4" ht="12.75">
      <c r="A17" s="159"/>
      <c r="B17" s="156"/>
      <c r="C17" s="157"/>
      <c r="D17" s="162"/>
    </row>
    <row r="18" spans="1:4" ht="12.75">
      <c r="A18" s="16"/>
      <c r="B18" s="267"/>
      <c r="C18" s="267"/>
      <c r="D18" s="268"/>
    </row>
    <row r="19" spans="1:4" ht="12.75">
      <c r="A19" s="16"/>
      <c r="B19" s="267"/>
      <c r="C19" s="267"/>
      <c r="D19" s="16"/>
    </row>
    <row r="20" spans="1:4" ht="12.75">
      <c r="A20" s="16"/>
      <c r="B20" s="267"/>
      <c r="C20" s="267"/>
      <c r="D20" s="16"/>
    </row>
    <row r="21" spans="1:4" ht="12.75">
      <c r="A21" s="269"/>
      <c r="B21" s="267"/>
      <c r="C21" s="267"/>
      <c r="D21" s="267"/>
    </row>
    <row r="22" spans="1:4" ht="12.75">
      <c r="A22" s="16"/>
      <c r="B22" s="267"/>
      <c r="C22" s="267"/>
      <c r="D22" s="16"/>
    </row>
    <row r="23" spans="1:4" ht="12.75">
      <c r="A23" s="16"/>
      <c r="B23" s="267"/>
      <c r="C23" s="267"/>
      <c r="D23" s="267"/>
    </row>
    <row r="24" spans="1:4" ht="12.75">
      <c r="A24" s="16"/>
      <c r="B24" s="267"/>
      <c r="C24" s="267"/>
      <c r="D24" s="16"/>
    </row>
    <row r="25" spans="1:4" ht="12.75">
      <c r="A25" s="16"/>
      <c r="B25" s="267"/>
      <c r="C25" s="267"/>
      <c r="D25" s="267"/>
    </row>
    <row r="26" spans="1:4" ht="12.75">
      <c r="A26" s="16"/>
      <c r="B26" s="267"/>
      <c r="C26" s="267"/>
      <c r="D26" s="16"/>
    </row>
    <row r="27" spans="1:4" ht="12.75">
      <c r="A27" s="16"/>
      <c r="B27" s="267"/>
      <c r="C27" s="267"/>
      <c r="D27" s="16"/>
    </row>
  </sheetData>
  <printOptions/>
  <pageMargins left="0.75" right="0.75" top="1" bottom="1" header="0.5" footer="0.5"/>
  <pageSetup horizontalDpi="300" verticalDpi="300" orientation="portrait" r:id="rId1"/>
</worksheet>
</file>

<file path=xl/worksheets/sheet16.xml><?xml version="1.0" encoding="utf-8"?>
<worksheet xmlns="http://schemas.openxmlformats.org/spreadsheetml/2006/main" xmlns:r="http://schemas.openxmlformats.org/officeDocument/2006/relationships">
  <dimension ref="A1:E95"/>
  <sheetViews>
    <sheetView zoomScale="75" zoomScaleNormal="75" workbookViewId="0" topLeftCell="A37">
      <selection activeCell="D7" sqref="D7"/>
    </sheetView>
  </sheetViews>
  <sheetFormatPr defaultColWidth="9.140625" defaultRowHeight="12.75"/>
  <cols>
    <col min="1" max="1" width="35.7109375" style="0" customWidth="1"/>
    <col min="2" max="2" width="15.7109375" style="0" hidden="1" customWidth="1"/>
    <col min="3" max="4" width="15.7109375" style="0" customWidth="1"/>
    <col min="5" max="5" width="12.00390625" style="0" customWidth="1"/>
  </cols>
  <sheetData>
    <row r="1" spans="1:2" ht="12.75">
      <c r="A1" s="4" t="s">
        <v>407</v>
      </c>
      <c r="B1" s="4"/>
    </row>
    <row r="2" spans="1:2" ht="12.75">
      <c r="A2" s="4" t="s">
        <v>394</v>
      </c>
      <c r="B2" s="4"/>
    </row>
    <row r="3" spans="1:2" ht="12.75">
      <c r="A3" s="172" t="s">
        <v>587</v>
      </c>
      <c r="B3" s="172"/>
    </row>
    <row r="4" spans="1:5" ht="12.75">
      <c r="A4" s="147"/>
      <c r="B4" s="147"/>
      <c r="C4" s="6"/>
      <c r="D4" s="6"/>
      <c r="E4" s="16"/>
    </row>
    <row r="5" spans="1:5" ht="12.75">
      <c r="A5" s="173"/>
      <c r="B5" s="149" t="s">
        <v>392</v>
      </c>
      <c r="C5" s="149" t="s">
        <v>393</v>
      </c>
      <c r="D5" s="149" t="s">
        <v>393</v>
      </c>
      <c r="E5" s="360"/>
    </row>
    <row r="6" spans="1:5" ht="12.75">
      <c r="A6" s="174"/>
      <c r="B6" s="151" t="s">
        <v>409</v>
      </c>
      <c r="C6" s="151" t="s">
        <v>150</v>
      </c>
      <c r="D6" s="151">
        <v>1999</v>
      </c>
      <c r="E6" s="360"/>
    </row>
    <row r="7" spans="1:5" ht="12.75">
      <c r="A7" s="152"/>
      <c r="B7" s="152"/>
      <c r="C7" s="175"/>
      <c r="D7" s="176"/>
      <c r="E7" s="186"/>
    </row>
    <row r="8" spans="1:5" ht="12.75">
      <c r="A8" s="152" t="s">
        <v>3</v>
      </c>
      <c r="B8" s="239">
        <v>11438620</v>
      </c>
      <c r="C8" s="175">
        <f>+C40</f>
        <v>6995594.68</v>
      </c>
      <c r="D8" s="176">
        <v>38614270</v>
      </c>
      <c r="E8" s="186"/>
    </row>
    <row r="9" spans="1:5" ht="12.75">
      <c r="A9" s="152"/>
      <c r="B9" s="152"/>
      <c r="C9" s="175"/>
      <c r="D9" s="176"/>
      <c r="E9" s="186"/>
    </row>
    <row r="10" spans="1:5" ht="12.75">
      <c r="A10" s="152" t="s">
        <v>400</v>
      </c>
      <c r="B10" s="177">
        <v>-47558</v>
      </c>
      <c r="C10" s="175">
        <f>+C54+C94</f>
        <v>-358478.3799999999</v>
      </c>
      <c r="D10" s="176">
        <v>1035287</v>
      </c>
      <c r="E10" s="186"/>
    </row>
    <row r="11" spans="1:5" ht="12.75">
      <c r="A11" s="152"/>
      <c r="B11" s="152"/>
      <c r="C11" s="175"/>
      <c r="D11" s="176"/>
      <c r="E11" s="186"/>
    </row>
    <row r="12" spans="1:5" ht="12.75">
      <c r="A12" s="152" t="s">
        <v>401</v>
      </c>
      <c r="B12" s="178">
        <v>0</v>
      </c>
      <c r="C12" s="179">
        <v>0</v>
      </c>
      <c r="D12" s="180">
        <v>-65222</v>
      </c>
      <c r="E12" s="361"/>
    </row>
    <row r="13" spans="1:5" ht="12.75">
      <c r="A13" s="152"/>
      <c r="B13" s="152"/>
      <c r="C13" s="175"/>
      <c r="D13" s="176"/>
      <c r="E13" s="186"/>
    </row>
    <row r="14" spans="1:5" ht="12.75">
      <c r="A14" s="152" t="s">
        <v>402</v>
      </c>
      <c r="B14" s="177">
        <f>SUM(B10:B12)</f>
        <v>-47558</v>
      </c>
      <c r="C14" s="175">
        <f>+C10+C12</f>
        <v>-358478.3799999999</v>
      </c>
      <c r="D14" s="176">
        <f>SUM(D10:D12)</f>
        <v>970065</v>
      </c>
      <c r="E14" s="186"/>
    </row>
    <row r="15" spans="1:5" ht="12.75">
      <c r="A15" s="152"/>
      <c r="B15" s="152"/>
      <c r="C15" s="175"/>
      <c r="D15" s="176"/>
      <c r="E15" s="186"/>
    </row>
    <row r="16" spans="1:5" ht="12.75">
      <c r="A16" s="152" t="s">
        <v>403</v>
      </c>
      <c r="B16" s="152"/>
      <c r="C16" s="175"/>
      <c r="D16" s="176"/>
      <c r="E16" s="186"/>
    </row>
    <row r="17" spans="1:5" ht="12.75">
      <c r="A17" s="158" t="s">
        <v>404</v>
      </c>
      <c r="B17" s="181">
        <f>+D17</f>
        <v>1535024</v>
      </c>
      <c r="C17" s="175">
        <f>+D21</f>
        <v>1905089</v>
      </c>
      <c r="D17" s="176">
        <v>1535024</v>
      </c>
      <c r="E17" s="186"/>
    </row>
    <row r="18" spans="1:5" ht="12.75">
      <c r="A18" s="152"/>
      <c r="B18" s="152"/>
      <c r="C18" s="175"/>
      <c r="D18" s="176"/>
      <c r="E18" s="186"/>
    </row>
    <row r="19" spans="1:5" ht="12.75">
      <c r="A19" s="152" t="s">
        <v>410</v>
      </c>
      <c r="B19" s="162"/>
      <c r="C19" s="179">
        <v>0</v>
      </c>
      <c r="D19" s="182">
        <v>-600000</v>
      </c>
      <c r="E19" s="186"/>
    </row>
    <row r="20" spans="1:5" ht="12.75">
      <c r="A20" s="152"/>
      <c r="B20" s="152"/>
      <c r="C20" s="175"/>
      <c r="D20" s="176"/>
      <c r="E20" s="186"/>
    </row>
    <row r="21" spans="1:5" ht="12.75">
      <c r="A21" s="152" t="s">
        <v>405</v>
      </c>
      <c r="B21" s="177">
        <f>SUM(B14:B17)</f>
        <v>1487466</v>
      </c>
      <c r="C21" s="175">
        <f>+C14+C17+C19</f>
        <v>1546610.62</v>
      </c>
      <c r="D21" s="176">
        <f>SUM(D14:D19)</f>
        <v>1905089</v>
      </c>
      <c r="E21" s="186"/>
    </row>
    <row r="22" spans="1:5" ht="13.5" thickBot="1">
      <c r="A22" s="152" t="s">
        <v>406</v>
      </c>
      <c r="B22" s="171"/>
      <c r="C22" s="183"/>
      <c r="D22" s="184"/>
      <c r="E22" s="186"/>
    </row>
    <row r="23" spans="1:5" ht="12.75">
      <c r="A23" s="159"/>
      <c r="B23" s="159"/>
      <c r="C23" s="179"/>
      <c r="D23" s="182"/>
      <c r="E23" s="186"/>
    </row>
    <row r="34" ht="12.75">
      <c r="A34" s="146" t="s">
        <v>411</v>
      </c>
    </row>
    <row r="35" spans="1:4" ht="12.75">
      <c r="A35" s="185" t="s">
        <v>531</v>
      </c>
      <c r="B35" s="186"/>
      <c r="C35" s="186"/>
      <c r="D35" s="186"/>
    </row>
    <row r="36" spans="1:4" ht="12.75">
      <c r="A36" s="147"/>
      <c r="B36" s="187"/>
      <c r="C36" s="187"/>
      <c r="D36" s="187"/>
    </row>
    <row r="37" spans="1:4" ht="12.75">
      <c r="A37" s="165"/>
      <c r="B37" s="188" t="s">
        <v>395</v>
      </c>
      <c r="C37" s="188" t="s">
        <v>395</v>
      </c>
      <c r="D37" s="160" t="s">
        <v>395</v>
      </c>
    </row>
    <row r="38" spans="1:4" ht="12.75">
      <c r="A38" s="152"/>
      <c r="B38" s="163" t="str">
        <f>+A35</f>
        <v>MARCH'00</v>
      </c>
      <c r="C38" s="161" t="s">
        <v>150</v>
      </c>
      <c r="D38" s="163" t="s">
        <v>389</v>
      </c>
    </row>
    <row r="39" spans="1:4" ht="12.75">
      <c r="A39" s="152"/>
      <c r="B39" s="189"/>
      <c r="C39" s="189"/>
      <c r="D39" s="190"/>
    </row>
    <row r="40" spans="1:4" ht="12.75">
      <c r="A40" s="152" t="s">
        <v>3</v>
      </c>
      <c r="B40" s="175">
        <v>4178370</v>
      </c>
      <c r="C40" s="175">
        <v>6995594.68</v>
      </c>
      <c r="D40" s="190">
        <v>38614270</v>
      </c>
    </row>
    <row r="41" spans="1:4" ht="12.75">
      <c r="A41" s="152"/>
      <c r="B41" s="175"/>
      <c r="C41" s="175"/>
      <c r="D41" s="190"/>
    </row>
    <row r="42" spans="1:4" ht="12.75">
      <c r="A42" s="152" t="s">
        <v>227</v>
      </c>
      <c r="B42" s="179">
        <v>3733918</v>
      </c>
      <c r="C42" s="179">
        <v>6096392.76</v>
      </c>
      <c r="D42" s="191">
        <v>35758751</v>
      </c>
    </row>
    <row r="43" spans="1:4" ht="12.75">
      <c r="A43" s="152"/>
      <c r="B43" s="175"/>
      <c r="C43" s="175"/>
      <c r="D43" s="190"/>
    </row>
    <row r="44" spans="1:4" ht="12.75">
      <c r="A44" s="152" t="s">
        <v>412</v>
      </c>
      <c r="B44" s="175">
        <f>B40-B42</f>
        <v>444452</v>
      </c>
      <c r="C44" s="175">
        <f>+C40-C42</f>
        <v>899201.9199999999</v>
      </c>
      <c r="D44" s="190">
        <f>D40-D42</f>
        <v>2855519</v>
      </c>
    </row>
    <row r="45" spans="1:4" ht="12.75">
      <c r="A45" s="152"/>
      <c r="B45" s="175"/>
      <c r="C45" s="175"/>
      <c r="D45" s="190"/>
    </row>
    <row r="46" spans="1:4" ht="12.75">
      <c r="A46" s="158" t="s">
        <v>413</v>
      </c>
      <c r="B46" s="175">
        <v>84736</v>
      </c>
      <c r="C46" s="175">
        <v>118065.17</v>
      </c>
      <c r="D46" s="190">
        <v>1099261</v>
      </c>
    </row>
    <row r="47" spans="1:4" ht="12.75">
      <c r="A47" s="164" t="s">
        <v>414</v>
      </c>
      <c r="B47" s="179"/>
      <c r="C47" s="179"/>
      <c r="D47" s="191"/>
    </row>
    <row r="48" spans="1:4" ht="12.75">
      <c r="A48" s="152"/>
      <c r="B48" s="175"/>
      <c r="C48" s="175"/>
      <c r="D48" s="190"/>
    </row>
    <row r="49" spans="1:4" ht="12.75">
      <c r="A49" s="152"/>
      <c r="B49" s="175">
        <f>SUM(B44:B46)</f>
        <v>529188</v>
      </c>
      <c r="C49" s="175">
        <f>+C44+C46</f>
        <v>1017267.09</v>
      </c>
      <c r="D49" s="190">
        <f>SUM(D44:D46)</f>
        <v>3954780</v>
      </c>
    </row>
    <row r="50" spans="1:4" ht="12.75">
      <c r="A50" s="152"/>
      <c r="B50" s="175"/>
      <c r="C50" s="175"/>
      <c r="D50" s="190"/>
    </row>
    <row r="51" spans="1:4" ht="12.75">
      <c r="A51" s="152" t="s">
        <v>415</v>
      </c>
      <c r="B51" s="152"/>
      <c r="C51" s="152"/>
      <c r="D51" s="153"/>
    </row>
    <row r="52" spans="1:4" ht="12.75">
      <c r="A52" s="152" t="s">
        <v>416</v>
      </c>
      <c r="B52" s="179">
        <v>252320</v>
      </c>
      <c r="C52" s="179">
        <v>1213432.65</v>
      </c>
      <c r="D52" s="359">
        <f>3072914-144921</f>
        <v>2927993</v>
      </c>
    </row>
    <row r="53" spans="1:4" ht="12.75">
      <c r="A53" s="152"/>
      <c r="B53" s="175"/>
      <c r="C53" s="175"/>
      <c r="D53" s="190"/>
    </row>
    <row r="54" spans="1:4" ht="13.5" thickBot="1">
      <c r="A54" s="158" t="s">
        <v>417</v>
      </c>
      <c r="B54" s="183">
        <f>B49-B52</f>
        <v>276868</v>
      </c>
      <c r="C54" s="183">
        <f>+C49-C52</f>
        <v>-196165.55999999994</v>
      </c>
      <c r="D54" s="192">
        <f>D49-D52</f>
        <v>1026787</v>
      </c>
    </row>
    <row r="55" spans="1:4" ht="12.75">
      <c r="A55" s="193"/>
      <c r="B55" s="179"/>
      <c r="C55" s="179"/>
      <c r="D55" s="191"/>
    </row>
    <row r="56" spans="1:4" ht="12.75">
      <c r="A56" s="16"/>
      <c r="B56" s="16"/>
      <c r="C56" s="16"/>
      <c r="D56" s="194"/>
    </row>
    <row r="57" spans="1:4" ht="12.75">
      <c r="A57" s="16"/>
      <c r="B57" s="16"/>
      <c r="C57" s="16"/>
      <c r="D57" s="16"/>
    </row>
    <row r="58" spans="1:4" ht="12.75">
      <c r="A58" s="16"/>
      <c r="B58" s="16"/>
      <c r="C58" s="16"/>
      <c r="D58" s="16"/>
    </row>
    <row r="59" spans="1:4" ht="12.75">
      <c r="A59" s="16"/>
      <c r="B59" s="16"/>
      <c r="C59" s="16"/>
      <c r="D59" s="16"/>
    </row>
    <row r="60" spans="1:4" ht="12.75">
      <c r="A60" s="16"/>
      <c r="B60" s="16"/>
      <c r="C60" s="16"/>
      <c r="D60" s="16"/>
    </row>
    <row r="73" ht="12.75">
      <c r="A73" s="185" t="s">
        <v>418</v>
      </c>
    </row>
    <row r="74" spans="1:4" ht="12.75">
      <c r="A74" s="4" t="s">
        <v>419</v>
      </c>
      <c r="B74" s="195"/>
      <c r="C74" s="195"/>
      <c r="D74" s="195"/>
    </row>
    <row r="75" spans="1:4" ht="12.75">
      <c r="A75" s="185" t="s">
        <v>587</v>
      </c>
      <c r="B75" s="195"/>
      <c r="C75" s="195"/>
      <c r="D75" s="195"/>
    </row>
    <row r="76" spans="1:4" ht="12.75">
      <c r="A76" s="147"/>
      <c r="B76" s="187"/>
      <c r="C76" s="187"/>
      <c r="D76" s="187"/>
    </row>
    <row r="77" spans="1:4" ht="12.75">
      <c r="A77" s="165"/>
      <c r="B77" s="188" t="s">
        <v>395</v>
      </c>
      <c r="C77" s="188" t="s">
        <v>395</v>
      </c>
      <c r="D77" s="160" t="s">
        <v>395</v>
      </c>
    </row>
    <row r="78" spans="1:4" ht="12.75">
      <c r="A78" s="152"/>
      <c r="B78" s="163" t="s">
        <v>396</v>
      </c>
      <c r="C78" s="161" t="s">
        <v>150</v>
      </c>
      <c r="D78" s="163" t="s">
        <v>586</v>
      </c>
    </row>
    <row r="79" spans="1:4" ht="12.75">
      <c r="A79" s="152"/>
      <c r="B79" s="189"/>
      <c r="C79" s="189"/>
      <c r="D79" s="190"/>
    </row>
    <row r="80" spans="1:4" ht="12.75">
      <c r="A80" s="152" t="s">
        <v>3</v>
      </c>
      <c r="B80" s="175">
        <v>104549</v>
      </c>
      <c r="C80" s="175">
        <v>824470</v>
      </c>
      <c r="D80" s="190">
        <v>3631480</v>
      </c>
    </row>
    <row r="81" spans="1:4" ht="12.75">
      <c r="A81" s="152"/>
      <c r="B81" s="175"/>
      <c r="C81" s="175"/>
      <c r="D81" s="190"/>
    </row>
    <row r="82" spans="1:4" ht="12.75">
      <c r="A82" s="152" t="s">
        <v>227</v>
      </c>
      <c r="B82" s="179">
        <v>192782</v>
      </c>
      <c r="C82" s="179">
        <v>978900.2</v>
      </c>
      <c r="D82" s="191">
        <v>3580789</v>
      </c>
    </row>
    <row r="83" spans="1:4" ht="12.75">
      <c r="A83" s="152"/>
      <c r="B83" s="175"/>
      <c r="C83" s="175"/>
      <c r="D83" s="190"/>
    </row>
    <row r="84" spans="1:4" ht="12.75">
      <c r="A84" s="152" t="s">
        <v>412</v>
      </c>
      <c r="B84" s="175">
        <f>B80-B82</f>
        <v>-88233</v>
      </c>
      <c r="C84" s="175">
        <f>+C80-C82</f>
        <v>-154430.19999999995</v>
      </c>
      <c r="D84" s="190">
        <f>D80-D82</f>
        <v>50691</v>
      </c>
    </row>
    <row r="85" spans="1:4" ht="12.75">
      <c r="A85" s="152"/>
      <c r="B85" s="175"/>
      <c r="C85" s="175"/>
      <c r="D85" s="190"/>
    </row>
    <row r="86" spans="1:4" ht="12.75">
      <c r="A86" s="158" t="s">
        <v>413</v>
      </c>
      <c r="B86" s="175">
        <v>18656</v>
      </c>
      <c r="C86" s="175">
        <v>1788.37</v>
      </c>
      <c r="D86" s="190">
        <v>66431</v>
      </c>
    </row>
    <row r="87" spans="1:4" ht="12.75">
      <c r="A87" s="164" t="s">
        <v>414</v>
      </c>
      <c r="B87" s="179"/>
      <c r="C87" s="179"/>
      <c r="D87" s="191"/>
    </row>
    <row r="88" spans="1:4" ht="12.75">
      <c r="A88" s="152"/>
      <c r="B88" s="175"/>
      <c r="C88" s="175"/>
      <c r="D88" s="190"/>
    </row>
    <row r="89" spans="1:4" ht="12.75">
      <c r="A89" s="152"/>
      <c r="B89" s="175">
        <f>SUM(B84:B86)</f>
        <v>-69577</v>
      </c>
      <c r="C89" s="175">
        <f>+C84+C86</f>
        <v>-152641.82999999996</v>
      </c>
      <c r="D89" s="190">
        <f>SUM(D84:D86)</f>
        <v>117122</v>
      </c>
    </row>
    <row r="90" spans="1:4" ht="12.75">
      <c r="A90" s="152"/>
      <c r="B90" s="175"/>
      <c r="C90" s="175"/>
      <c r="D90" s="190"/>
    </row>
    <row r="91" spans="1:4" ht="12.75">
      <c r="A91" s="152" t="s">
        <v>415</v>
      </c>
      <c r="B91" s="152"/>
      <c r="C91" s="152"/>
      <c r="D91" s="153"/>
    </row>
    <row r="92" spans="1:4" ht="12.75">
      <c r="A92" s="152" t="s">
        <v>416</v>
      </c>
      <c r="B92" s="179">
        <v>9877</v>
      </c>
      <c r="C92" s="179">
        <v>9670.99</v>
      </c>
      <c r="D92" s="191">
        <v>104228</v>
      </c>
    </row>
    <row r="93" spans="1:4" ht="12.75">
      <c r="A93" s="152"/>
      <c r="B93" s="175"/>
      <c r="C93" s="175"/>
      <c r="D93" s="190"/>
    </row>
    <row r="94" spans="1:4" ht="13.5" thickBot="1">
      <c r="A94" s="158" t="s">
        <v>417</v>
      </c>
      <c r="B94" s="183">
        <f>B89-B92</f>
        <v>-79454</v>
      </c>
      <c r="C94" s="183">
        <f>+C89-C92</f>
        <v>-162312.81999999995</v>
      </c>
      <c r="D94" s="192">
        <f>D89-D92</f>
        <v>12894</v>
      </c>
    </row>
    <row r="95" spans="1:4" ht="12.75">
      <c r="A95" s="193"/>
      <c r="B95" s="179"/>
      <c r="C95" s="179"/>
      <c r="D95" s="191"/>
    </row>
  </sheetData>
  <printOptions/>
  <pageMargins left="0.75" right="0.75" top="1" bottom="1" header="0.5" footer="0.5"/>
  <pageSetup horizontalDpi="300" verticalDpi="300" orientation="portrait" r:id="rId1"/>
</worksheet>
</file>

<file path=xl/worksheets/sheet17.xml><?xml version="1.0" encoding="utf-8"?>
<worksheet xmlns="http://schemas.openxmlformats.org/spreadsheetml/2006/main" xmlns:r="http://schemas.openxmlformats.org/officeDocument/2006/relationships">
  <dimension ref="A1:E23"/>
  <sheetViews>
    <sheetView zoomScale="75" zoomScaleNormal="75" workbookViewId="0" topLeftCell="A1">
      <selection activeCell="C3" sqref="C3"/>
    </sheetView>
  </sheetViews>
  <sheetFormatPr defaultColWidth="9.140625" defaultRowHeight="12.75"/>
  <cols>
    <col min="1" max="1" width="24.140625" style="0" customWidth="1"/>
    <col min="2" max="2" width="12.28125" style="0" customWidth="1"/>
    <col min="3" max="3" width="11.140625" style="0" customWidth="1"/>
    <col min="4" max="4" width="11.00390625" style="0" customWidth="1"/>
    <col min="5" max="5" width="12.7109375" style="0" customWidth="1"/>
  </cols>
  <sheetData>
    <row r="1" spans="1:2" ht="12.75">
      <c r="A1" s="4" t="s">
        <v>420</v>
      </c>
      <c r="B1" s="4"/>
    </row>
    <row r="2" spans="1:2" ht="12.75">
      <c r="A2" s="4" t="s">
        <v>394</v>
      </c>
      <c r="B2" s="4"/>
    </row>
    <row r="3" spans="1:2" ht="12.75">
      <c r="A3" s="172" t="s">
        <v>408</v>
      </c>
      <c r="B3" s="172"/>
    </row>
    <row r="4" spans="1:5" ht="12.75">
      <c r="A4" s="147"/>
      <c r="B4" s="147"/>
      <c r="C4" s="6"/>
      <c r="D4" s="6"/>
      <c r="E4" s="6"/>
    </row>
    <row r="5" spans="1:5" ht="12.75">
      <c r="A5" s="173"/>
      <c r="B5" s="149" t="s">
        <v>392</v>
      </c>
      <c r="C5" s="149" t="s">
        <v>392</v>
      </c>
      <c r="D5" s="149" t="s">
        <v>393</v>
      </c>
      <c r="E5" s="149" t="s">
        <v>393</v>
      </c>
    </row>
    <row r="6" spans="1:5" ht="12.75">
      <c r="A6" s="174"/>
      <c r="B6" s="151" t="s">
        <v>409</v>
      </c>
      <c r="C6" s="151" t="s">
        <v>391</v>
      </c>
      <c r="D6" s="151" t="s">
        <v>150</v>
      </c>
      <c r="E6" s="151">
        <v>1998</v>
      </c>
    </row>
    <row r="7" spans="1:5" ht="12.75">
      <c r="A7" s="152"/>
      <c r="B7" s="152"/>
      <c r="C7" s="175"/>
      <c r="D7" s="175"/>
      <c r="E7" s="176"/>
    </row>
    <row r="8" spans="1:5" ht="12.75">
      <c r="A8" s="152" t="s">
        <v>3</v>
      </c>
      <c r="B8" s="177">
        <v>11438620</v>
      </c>
      <c r="C8" s="175">
        <f>+B40</f>
        <v>0</v>
      </c>
      <c r="D8" s="175">
        <f>+C40</f>
        <v>0</v>
      </c>
      <c r="E8" s="176">
        <v>36738648</v>
      </c>
    </row>
    <row r="9" spans="1:5" ht="12.75">
      <c r="A9" s="152"/>
      <c r="B9" s="152"/>
      <c r="C9" s="175"/>
      <c r="D9" s="175"/>
      <c r="E9" s="176"/>
    </row>
    <row r="10" spans="1:5" ht="12.75">
      <c r="A10" s="152" t="s">
        <v>400</v>
      </c>
      <c r="B10" s="177">
        <v>-47558</v>
      </c>
      <c r="C10" s="175">
        <f>+B54+B94</f>
        <v>0</v>
      </c>
      <c r="D10" s="175">
        <f>+C54+C94</f>
        <v>0</v>
      </c>
      <c r="E10" s="176">
        <v>-753969</v>
      </c>
    </row>
    <row r="11" spans="1:5" ht="12.75">
      <c r="A11" s="152"/>
      <c r="B11" s="152"/>
      <c r="C11" s="175"/>
      <c r="D11" s="175"/>
      <c r="E11" s="176"/>
    </row>
    <row r="12" spans="1:5" ht="12.75">
      <c r="A12" s="152" t="s">
        <v>401</v>
      </c>
      <c r="B12" s="178">
        <v>0</v>
      </c>
      <c r="C12" s="179">
        <v>0</v>
      </c>
      <c r="D12" s="179">
        <v>0</v>
      </c>
      <c r="E12" s="180">
        <v>-77660</v>
      </c>
    </row>
    <row r="13" spans="1:5" ht="12.75">
      <c r="A13" s="152"/>
      <c r="B13" s="152"/>
      <c r="C13" s="175"/>
      <c r="D13" s="175"/>
      <c r="E13" s="176"/>
    </row>
    <row r="14" spans="1:5" ht="12.75">
      <c r="A14" s="152" t="s">
        <v>402</v>
      </c>
      <c r="B14" s="177">
        <f>SUM(B10:B12)</f>
        <v>-47558</v>
      </c>
      <c r="C14" s="175">
        <f>SUM(C10:C12)</f>
        <v>0</v>
      </c>
      <c r="D14" s="175">
        <f>+D10+D12</f>
        <v>0</v>
      </c>
      <c r="E14" s="176">
        <f>SUM(E10:E12)</f>
        <v>-831629</v>
      </c>
    </row>
    <row r="15" spans="1:5" ht="12.75">
      <c r="A15" s="152"/>
      <c r="B15" s="152"/>
      <c r="C15" s="175"/>
      <c r="D15" s="175"/>
      <c r="E15" s="176"/>
    </row>
    <row r="16" spans="1:5" ht="12.75">
      <c r="A16" s="152" t="s">
        <v>403</v>
      </c>
      <c r="B16" s="152"/>
      <c r="C16" s="175"/>
      <c r="D16" s="175"/>
      <c r="E16" s="176"/>
    </row>
    <row r="17" spans="1:5" ht="12.75">
      <c r="A17" s="158" t="s">
        <v>404</v>
      </c>
      <c r="B17" s="181">
        <f>+D17</f>
        <v>1535024</v>
      </c>
      <c r="C17" s="175">
        <f>+C21-C14</f>
        <v>1535024</v>
      </c>
      <c r="D17" s="175">
        <f>+E21</f>
        <v>1535024</v>
      </c>
      <c r="E17" s="176">
        <v>7366653</v>
      </c>
    </row>
    <row r="18" spans="1:5" ht="12.75">
      <c r="A18" s="152"/>
      <c r="B18" s="152"/>
      <c r="C18" s="175"/>
      <c r="D18" s="175"/>
      <c r="E18" s="176"/>
    </row>
    <row r="19" spans="1:5" ht="12.75">
      <c r="A19" s="152" t="s">
        <v>410</v>
      </c>
      <c r="B19" s="162"/>
      <c r="C19" s="179">
        <v>0</v>
      </c>
      <c r="D19" s="179">
        <v>0</v>
      </c>
      <c r="E19" s="182">
        <v>-5000000</v>
      </c>
    </row>
    <row r="20" spans="1:5" ht="12.75">
      <c r="A20" s="152"/>
      <c r="B20" s="152"/>
      <c r="C20" s="175"/>
      <c r="D20" s="175"/>
      <c r="E20" s="176"/>
    </row>
    <row r="21" spans="1:5" ht="12.75">
      <c r="A21" s="152" t="s">
        <v>405</v>
      </c>
      <c r="B21" s="177">
        <f>SUM(B14:B17)</f>
        <v>1487466</v>
      </c>
      <c r="C21" s="175">
        <f>+D21</f>
        <v>1535024</v>
      </c>
      <c r="D21" s="175">
        <f>+D14+D17+D19</f>
        <v>1535024</v>
      </c>
      <c r="E21" s="176">
        <f>SUM(E14:E19)</f>
        <v>1535024</v>
      </c>
    </row>
    <row r="22" spans="1:5" ht="13.5" thickBot="1">
      <c r="A22" s="152" t="s">
        <v>406</v>
      </c>
      <c r="B22" s="171"/>
      <c r="C22" s="183"/>
      <c r="D22" s="183"/>
      <c r="E22" s="184"/>
    </row>
    <row r="23" spans="1:5" ht="12.75">
      <c r="A23" s="159"/>
      <c r="B23" s="159"/>
      <c r="C23" s="179"/>
      <c r="D23" s="179"/>
      <c r="E23" s="182"/>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D106"/>
  <sheetViews>
    <sheetView workbookViewId="0" topLeftCell="A1">
      <selection activeCell="N5" sqref="N5"/>
    </sheetView>
  </sheetViews>
  <sheetFormatPr defaultColWidth="12.7109375" defaultRowHeight="12.75"/>
  <cols>
    <col min="1" max="1" width="34.00390625" style="35" customWidth="1"/>
    <col min="2" max="2" width="7.8515625" style="196" customWidth="1"/>
    <col min="3" max="3" width="15.00390625" style="52" customWidth="1"/>
    <col min="4" max="4" width="14.7109375" style="52" customWidth="1"/>
    <col min="5" max="5" width="13.28125" style="52" customWidth="1"/>
    <col min="6" max="6" width="13.140625" style="52" customWidth="1"/>
    <col min="7" max="7" width="14.7109375" style="52" customWidth="1"/>
    <col min="8" max="8" width="6.8515625" style="52" customWidth="1"/>
    <col min="9" max="9" width="15.00390625" style="52" customWidth="1"/>
    <col min="10" max="10" width="15.57421875" style="52" customWidth="1"/>
    <col min="11" max="11" width="0.5625" style="52" customWidth="1"/>
    <col min="12" max="12" width="14.7109375" style="83" customWidth="1"/>
    <col min="13" max="30" width="12.7109375" style="35" customWidth="1"/>
  </cols>
  <sheetData>
    <row r="1" ht="15">
      <c r="A1" s="35" t="s">
        <v>281</v>
      </c>
    </row>
    <row r="2" ht="15">
      <c r="A2" s="35" t="s">
        <v>435</v>
      </c>
    </row>
    <row r="3" ht="15">
      <c r="A3" s="137" t="s">
        <v>421</v>
      </c>
    </row>
    <row r="5" spans="1:30" s="49" customFormat="1" ht="15">
      <c r="A5" s="197"/>
      <c r="B5" s="198"/>
      <c r="C5" s="199"/>
      <c r="D5" s="199"/>
      <c r="E5" s="199"/>
      <c r="F5" s="199"/>
      <c r="G5" s="65"/>
      <c r="H5" s="65"/>
      <c r="I5" s="65"/>
      <c r="J5" s="65" t="s">
        <v>422</v>
      </c>
      <c r="K5" s="61"/>
      <c r="L5" s="87" t="s">
        <v>422</v>
      </c>
      <c r="M5" s="200"/>
      <c r="N5" s="200"/>
      <c r="O5" s="200"/>
      <c r="P5" s="200"/>
      <c r="Q5" s="200"/>
      <c r="R5" s="200"/>
      <c r="S5" s="200"/>
      <c r="T5" s="200"/>
      <c r="U5" s="200"/>
      <c r="V5" s="200"/>
      <c r="W5" s="200"/>
      <c r="X5" s="200"/>
      <c r="Y5" s="200"/>
      <c r="Z5" s="200"/>
      <c r="AA5" s="200"/>
      <c r="AB5" s="200"/>
      <c r="AC5" s="200"/>
      <c r="AD5" s="200"/>
    </row>
    <row r="6" spans="1:30" s="49" customFormat="1" ht="15">
      <c r="A6" s="201"/>
      <c r="B6" s="202" t="s">
        <v>189</v>
      </c>
      <c r="C6" s="57" t="s">
        <v>423</v>
      </c>
      <c r="D6" s="57" t="s">
        <v>424</v>
      </c>
      <c r="E6" s="57" t="s">
        <v>425</v>
      </c>
      <c r="F6" s="57" t="s">
        <v>426</v>
      </c>
      <c r="G6" s="57" t="s">
        <v>195</v>
      </c>
      <c r="H6" s="57"/>
      <c r="I6" s="57" t="s">
        <v>196</v>
      </c>
      <c r="J6" s="203" t="s">
        <v>427</v>
      </c>
      <c r="K6" s="61"/>
      <c r="L6" s="204" t="s">
        <v>427</v>
      </c>
      <c r="M6" s="200"/>
      <c r="N6" s="200"/>
      <c r="O6" s="200"/>
      <c r="P6" s="200"/>
      <c r="Q6" s="200"/>
      <c r="R6" s="200"/>
      <c r="S6" s="200"/>
      <c r="T6" s="200"/>
      <c r="U6" s="200"/>
      <c r="V6" s="200"/>
      <c r="W6" s="200"/>
      <c r="X6" s="200"/>
      <c r="Y6" s="200"/>
      <c r="Z6" s="200"/>
      <c r="AA6" s="200"/>
      <c r="AB6" s="200"/>
      <c r="AC6" s="200"/>
      <c r="AD6" s="200"/>
    </row>
    <row r="7" spans="1:30" s="49" customFormat="1" ht="15">
      <c r="A7" s="197"/>
      <c r="B7" s="198"/>
      <c r="C7" s="65" t="s">
        <v>201</v>
      </c>
      <c r="D7" s="65" t="s">
        <v>201</v>
      </c>
      <c r="E7" s="65" t="s">
        <v>201</v>
      </c>
      <c r="F7" s="65" t="s">
        <v>201</v>
      </c>
      <c r="G7" s="65" t="s">
        <v>201</v>
      </c>
      <c r="H7" s="65"/>
      <c r="I7" s="65" t="s">
        <v>201</v>
      </c>
      <c r="J7" s="65" t="s">
        <v>201</v>
      </c>
      <c r="K7" s="61"/>
      <c r="L7" s="87" t="s">
        <v>201</v>
      </c>
      <c r="M7" s="200"/>
      <c r="N7" s="200"/>
      <c r="O7" s="200"/>
      <c r="P7" s="200"/>
      <c r="Q7" s="200"/>
      <c r="R7" s="200"/>
      <c r="S7" s="200"/>
      <c r="T7" s="200"/>
      <c r="U7" s="200"/>
      <c r="V7" s="200"/>
      <c r="W7" s="200"/>
      <c r="X7" s="200"/>
      <c r="Y7" s="200"/>
      <c r="Z7" s="200"/>
      <c r="AA7" s="200"/>
      <c r="AB7" s="200"/>
      <c r="AC7" s="200"/>
      <c r="AD7" s="200"/>
    </row>
    <row r="8" spans="1:30" s="49" customFormat="1" ht="15">
      <c r="A8" s="197"/>
      <c r="B8" s="198"/>
      <c r="C8" s="65"/>
      <c r="D8" s="65"/>
      <c r="E8" s="65"/>
      <c r="F8" s="65"/>
      <c r="G8" s="65"/>
      <c r="H8" s="65"/>
      <c r="I8" s="65"/>
      <c r="J8" s="65"/>
      <c r="K8" s="61"/>
      <c r="L8" s="87"/>
      <c r="M8" s="200"/>
      <c r="N8" s="200"/>
      <c r="O8" s="200"/>
      <c r="P8" s="200"/>
      <c r="Q8" s="200"/>
      <c r="R8" s="200"/>
      <c r="S8" s="200"/>
      <c r="T8" s="200"/>
      <c r="U8" s="200"/>
      <c r="V8" s="200"/>
      <c r="W8" s="200"/>
      <c r="X8" s="200"/>
      <c r="Y8" s="200"/>
      <c r="Z8" s="200"/>
      <c r="AA8" s="200"/>
      <c r="AB8" s="200"/>
      <c r="AC8" s="200"/>
      <c r="AD8" s="200"/>
    </row>
    <row r="9" spans="1:3" ht="15">
      <c r="A9" s="205"/>
      <c r="B9" s="206"/>
      <c r="C9" s="65"/>
    </row>
    <row r="10" spans="1:12" ht="15.75" thickBot="1">
      <c r="A10" s="205" t="s">
        <v>3</v>
      </c>
      <c r="B10" s="206"/>
      <c r="C10" s="73">
        <v>136805821</v>
      </c>
      <c r="D10" s="73">
        <v>293345744</v>
      </c>
      <c r="E10" s="73">
        <v>6763209.55</v>
      </c>
      <c r="F10" s="73">
        <v>7492346</v>
      </c>
      <c r="G10" s="73">
        <f>SUM(C10:F10)</f>
        <v>444407120.55</v>
      </c>
      <c r="H10" s="65"/>
      <c r="I10" s="65"/>
      <c r="J10" s="73">
        <f>SUM(G10:I10)</f>
        <v>444407120.55</v>
      </c>
      <c r="L10" s="207">
        <f>ROUND(J10,-3)</f>
        <v>444407000</v>
      </c>
    </row>
    <row r="11" spans="1:12" ht="15.75" thickTop="1">
      <c r="A11" s="205"/>
      <c r="B11" s="206"/>
      <c r="C11" s="65"/>
      <c r="D11" s="65"/>
      <c r="E11" s="65"/>
      <c r="F11" s="65"/>
      <c r="G11" s="65"/>
      <c r="H11" s="65"/>
      <c r="I11" s="65"/>
      <c r="J11" s="65"/>
      <c r="L11" s="87"/>
    </row>
    <row r="12" spans="1:12" ht="15">
      <c r="A12" s="205" t="s">
        <v>227</v>
      </c>
      <c r="B12" s="206"/>
      <c r="C12" s="65">
        <v>-105095639</v>
      </c>
      <c r="D12" s="65">
        <v>-279121874</v>
      </c>
      <c r="E12" s="65">
        <f>-7003744.61-555879.91-170317.08</f>
        <v>-7729941.600000001</v>
      </c>
      <c r="F12" s="65">
        <v>0</v>
      </c>
      <c r="G12" s="65">
        <f>SUM(C12:F12)</f>
        <v>-391947454.6</v>
      </c>
      <c r="H12" s="65"/>
      <c r="I12" s="65"/>
      <c r="J12" s="65">
        <f>SUM(G12:I12)</f>
        <v>-391947454.6</v>
      </c>
      <c r="L12" s="87">
        <f>ROUND(J12,-3)</f>
        <v>-391947000</v>
      </c>
    </row>
    <row r="13" spans="1:12" ht="15">
      <c r="A13" s="205"/>
      <c r="B13" s="206"/>
      <c r="C13" s="65"/>
      <c r="D13" s="65"/>
      <c r="E13" s="65"/>
      <c r="F13" s="65"/>
      <c r="G13" s="65"/>
      <c r="H13" s="65"/>
      <c r="I13" s="65"/>
      <c r="J13" s="65"/>
      <c r="L13" s="87"/>
    </row>
    <row r="14" spans="1:12" ht="15.75" thickBot="1">
      <c r="A14" s="205" t="s">
        <v>228</v>
      </c>
      <c r="B14" s="206"/>
      <c r="C14" s="77">
        <f>SUM(C10:C13)</f>
        <v>31710182</v>
      </c>
      <c r="D14" s="77">
        <f>SUM(D10:D13)</f>
        <v>14223870</v>
      </c>
      <c r="E14" s="77">
        <f>SUM(E10:E13)</f>
        <v>-966732.0500000007</v>
      </c>
      <c r="F14" s="77">
        <f>SUM(F10:F13)</f>
        <v>7492346</v>
      </c>
      <c r="G14" s="77">
        <f>SUM(G10:G13)</f>
        <v>52459665.94999999</v>
      </c>
      <c r="H14" s="65"/>
      <c r="J14" s="77">
        <f>SUM(J10:J13)</f>
        <v>52459665.94999999</v>
      </c>
      <c r="L14" s="77">
        <f>SUM(L10:L13)</f>
        <v>52460000</v>
      </c>
    </row>
    <row r="15" spans="1:6" ht="15.75" thickTop="1">
      <c r="A15" s="205"/>
      <c r="B15" s="206"/>
      <c r="C15" s="65"/>
      <c r="D15" s="65"/>
      <c r="E15" s="65"/>
      <c r="F15" s="65"/>
    </row>
    <row r="16" spans="1:6" ht="15">
      <c r="A16" s="205"/>
      <c r="B16" s="206"/>
      <c r="C16" s="65"/>
      <c r="D16" s="65"/>
      <c r="E16" s="65"/>
      <c r="F16" s="65"/>
    </row>
    <row r="17" spans="1:12" ht="15">
      <c r="A17" s="205" t="s">
        <v>229</v>
      </c>
      <c r="B17" s="206"/>
      <c r="C17" s="65">
        <v>16946094</v>
      </c>
      <c r="D17" s="65">
        <v>11825355</v>
      </c>
      <c r="E17" s="65">
        <v>-1800000</v>
      </c>
      <c r="F17" s="65">
        <v>2200000</v>
      </c>
      <c r="G17" s="65">
        <f>SUM(C17:F17)</f>
        <v>29171449</v>
      </c>
      <c r="H17" s="72"/>
      <c r="I17" s="65"/>
      <c r="J17" s="65">
        <f>SUM(G17:I17)</f>
        <v>29171449</v>
      </c>
      <c r="L17" s="87">
        <f>ROUND(J17,-3)</f>
        <v>29171000</v>
      </c>
    </row>
    <row r="18" spans="1:12" ht="15">
      <c r="A18" s="208"/>
      <c r="B18" s="209"/>
      <c r="C18" s="65"/>
      <c r="D18" s="65"/>
      <c r="E18" s="65"/>
      <c r="F18" s="65"/>
      <c r="G18" s="65"/>
      <c r="H18" s="65"/>
      <c r="I18" s="65"/>
      <c r="J18" s="65"/>
      <c r="L18" s="87"/>
    </row>
    <row r="19" spans="1:12" ht="15">
      <c r="A19" s="205" t="s">
        <v>21</v>
      </c>
      <c r="B19" s="206">
        <v>8</v>
      </c>
      <c r="C19" s="81">
        <v>0</v>
      </c>
      <c r="D19" s="81">
        <v>0</v>
      </c>
      <c r="E19" s="81">
        <v>0</v>
      </c>
      <c r="F19" s="81">
        <f>-'[2]Notes'!E68</f>
        <v>0</v>
      </c>
      <c r="G19" s="81">
        <f>SUM(C19:F19)</f>
        <v>0</v>
      </c>
      <c r="H19" s="65"/>
      <c r="J19" s="81">
        <f>SUM(G19:I19)</f>
        <v>0</v>
      </c>
      <c r="L19" s="210">
        <f>ROUND(J19,-3)</f>
        <v>0</v>
      </c>
    </row>
    <row r="20" spans="1:12" ht="15">
      <c r="A20" s="205"/>
      <c r="B20" s="206"/>
      <c r="C20" s="65"/>
      <c r="D20" s="65"/>
      <c r="E20" s="65"/>
      <c r="F20" s="65"/>
      <c r="G20" s="65"/>
      <c r="H20" s="65"/>
      <c r="I20" s="65"/>
      <c r="J20" s="65"/>
      <c r="L20" s="87"/>
    </row>
    <row r="21" spans="1:12" ht="15">
      <c r="A21" s="205" t="s">
        <v>232</v>
      </c>
      <c r="B21" s="206"/>
      <c r="C21" s="65">
        <f>C17+C19</f>
        <v>16946094</v>
      </c>
      <c r="D21" s="65">
        <f>D17+D19</f>
        <v>11825355</v>
      </c>
      <c r="E21" s="65">
        <f>E17+E19</f>
        <v>-1800000</v>
      </c>
      <c r="F21" s="65">
        <f>F17+F19</f>
        <v>2200000</v>
      </c>
      <c r="G21" s="65">
        <f>G17+G19</f>
        <v>29171449</v>
      </c>
      <c r="H21" s="65"/>
      <c r="I21" s="65"/>
      <c r="J21" s="65">
        <f>SUM(J17:J19)</f>
        <v>29171449</v>
      </c>
      <c r="L21" s="87">
        <f>SUM(L17:L19)</f>
        <v>29171000</v>
      </c>
    </row>
    <row r="22" spans="1:12" ht="15">
      <c r="A22" s="205"/>
      <c r="B22" s="206"/>
      <c r="C22" s="65"/>
      <c r="D22" s="65"/>
      <c r="E22" s="65"/>
      <c r="F22" s="65"/>
      <c r="G22" s="65"/>
      <c r="H22" s="65"/>
      <c r="I22" s="65"/>
      <c r="J22" s="65"/>
      <c r="L22" s="87"/>
    </row>
    <row r="23" spans="1:12" ht="15">
      <c r="A23" s="205" t="s">
        <v>235</v>
      </c>
      <c r="B23" s="206"/>
      <c r="C23" s="81">
        <f>93002393</f>
        <v>93002393</v>
      </c>
      <c r="D23" s="81">
        <v>12823272</v>
      </c>
      <c r="E23" s="81">
        <v>-881170</v>
      </c>
      <c r="F23" s="81">
        <v>1501071</v>
      </c>
      <c r="G23" s="81">
        <f>SUM(C23:F23)</f>
        <v>106445566</v>
      </c>
      <c r="H23" s="72"/>
      <c r="I23" s="65"/>
      <c r="J23" s="81">
        <f>SUM(G23:I23)</f>
        <v>106445566</v>
      </c>
      <c r="L23" s="210">
        <v>106445000</v>
      </c>
    </row>
    <row r="24" spans="1:12" ht="15">
      <c r="A24" s="205"/>
      <c r="B24" s="206"/>
      <c r="C24" s="65"/>
      <c r="D24" s="65"/>
      <c r="E24" s="65"/>
      <c r="F24" s="65"/>
      <c r="G24" s="65"/>
      <c r="H24" s="65"/>
      <c r="I24" s="65"/>
      <c r="J24" s="65"/>
      <c r="L24" s="87"/>
    </row>
    <row r="25" spans="1:12" ht="15">
      <c r="A25" s="205" t="s">
        <v>236</v>
      </c>
      <c r="B25" s="206"/>
      <c r="C25" s="65">
        <f>C21+C23</f>
        <v>109948487</v>
      </c>
      <c r="D25" s="65">
        <f>D21+D23</f>
        <v>24648627</v>
      </c>
      <c r="E25" s="65">
        <f>E21+E23</f>
        <v>-2681170</v>
      </c>
      <c r="F25" s="65">
        <f>F21+F23</f>
        <v>3701071</v>
      </c>
      <c r="G25" s="65">
        <f>G21+G23</f>
        <v>135617015</v>
      </c>
      <c r="H25" s="65"/>
      <c r="I25" s="65"/>
      <c r="J25" s="65">
        <f>SUM(J21:J23)</f>
        <v>135617015</v>
      </c>
      <c r="L25" s="87">
        <f>SUM(L21:L23)</f>
        <v>135616000</v>
      </c>
    </row>
    <row r="26" spans="1:12" ht="15">
      <c r="A26" s="205"/>
      <c r="B26" s="206"/>
      <c r="C26" s="65"/>
      <c r="D26" s="65"/>
      <c r="E26" s="65"/>
      <c r="F26" s="65"/>
      <c r="G26" s="65"/>
      <c r="H26" s="65"/>
      <c r="I26" s="65"/>
      <c r="J26" s="65"/>
      <c r="L26" s="87"/>
    </row>
    <row r="27" spans="1:12" ht="15">
      <c r="A27" s="208" t="s">
        <v>237</v>
      </c>
      <c r="B27" s="209"/>
      <c r="C27" s="65">
        <v>-10000000</v>
      </c>
      <c r="D27" s="65">
        <v>0</v>
      </c>
      <c r="E27" s="65">
        <v>0</v>
      </c>
      <c r="F27" s="65">
        <v>0</v>
      </c>
      <c r="G27" s="52">
        <f>SUM(C27:F27)</f>
        <v>-10000000</v>
      </c>
      <c r="J27" s="52">
        <f>SUM(G27:I27)</f>
        <v>-10000000</v>
      </c>
      <c r="L27" s="87">
        <f>ROUND(J27,-3)</f>
        <v>-10000000</v>
      </c>
    </row>
    <row r="28" spans="1:6" ht="15">
      <c r="A28" s="208"/>
      <c r="B28" s="209"/>
      <c r="C28" s="65"/>
      <c r="D28" s="65"/>
      <c r="E28" s="65"/>
      <c r="F28" s="65"/>
    </row>
    <row r="29" spans="1:12" ht="15.75" thickBot="1">
      <c r="A29" s="205" t="s">
        <v>238</v>
      </c>
      <c r="B29" s="206"/>
      <c r="C29" s="77">
        <f>C25+C27</f>
        <v>99948487</v>
      </c>
      <c r="D29" s="77">
        <f>D25+D27</f>
        <v>24648627</v>
      </c>
      <c r="E29" s="77">
        <f>E25+E27</f>
        <v>-2681170</v>
      </c>
      <c r="F29" s="77">
        <f>F25+F27</f>
        <v>3701071</v>
      </c>
      <c r="G29" s="77">
        <f>G25+G27</f>
        <v>125617015</v>
      </c>
      <c r="H29" s="65"/>
      <c r="I29" s="65">
        <v>181</v>
      </c>
      <c r="J29" s="77">
        <f>+G29+I29</f>
        <v>125617196</v>
      </c>
      <c r="L29" s="211">
        <f>SUM(L25:L27)</f>
        <v>125616000</v>
      </c>
    </row>
    <row r="30" ht="15.75" thickTop="1"/>
    <row r="45" spans="1:12" ht="15">
      <c r="A45" s="226" t="s">
        <v>239</v>
      </c>
      <c r="B45" s="227"/>
      <c r="C45" s="217"/>
      <c r="D45" s="228"/>
      <c r="E45" s="212"/>
      <c r="F45" s="212"/>
      <c r="G45" s="212"/>
      <c r="H45" s="212"/>
      <c r="I45" s="212"/>
      <c r="J45" s="212"/>
      <c r="K45" s="212"/>
      <c r="L45" s="212"/>
    </row>
    <row r="46" spans="1:12" ht="15">
      <c r="A46" s="226"/>
      <c r="B46" s="227"/>
      <c r="C46" s="217"/>
      <c r="D46" s="228"/>
      <c r="E46" s="212"/>
      <c r="F46" s="212"/>
      <c r="G46" s="212"/>
      <c r="H46" s="212"/>
      <c r="I46" s="212"/>
      <c r="J46" s="212"/>
      <c r="K46" s="212"/>
      <c r="L46" s="212"/>
    </row>
    <row r="47" spans="1:12" ht="15">
      <c r="A47" s="226" t="s">
        <v>240</v>
      </c>
      <c r="B47" s="227">
        <v>1</v>
      </c>
      <c r="C47" s="217">
        <v>22309711</v>
      </c>
      <c r="D47" s="217">
        <v>6150433</v>
      </c>
      <c r="E47" s="217">
        <f>388974.37+4300</f>
        <v>393274.37</v>
      </c>
      <c r="F47" s="217">
        <f>1584757.81+200</f>
        <v>1584957.81</v>
      </c>
      <c r="G47" s="217">
        <f aca="true" t="shared" si="0" ref="G47:G56">SUM(C47:F47)</f>
        <v>30438376.18</v>
      </c>
      <c r="H47" s="217"/>
      <c r="I47" s="217"/>
      <c r="J47" s="217">
        <f aca="true" t="shared" si="1" ref="J47:J55">SUM(G47:I47)</f>
        <v>30438376.18</v>
      </c>
      <c r="K47" s="212"/>
      <c r="L47" s="217">
        <f>ROUND(J47,-3)</f>
        <v>30438000</v>
      </c>
    </row>
    <row r="48" spans="1:12" ht="15">
      <c r="A48" s="226" t="s">
        <v>428</v>
      </c>
      <c r="B48" s="227"/>
      <c r="C48" s="217">
        <v>30525000</v>
      </c>
      <c r="D48" s="217">
        <v>16210000</v>
      </c>
      <c r="E48" s="217">
        <v>0</v>
      </c>
      <c r="F48" s="217">
        <v>0</v>
      </c>
      <c r="G48" s="217">
        <f t="shared" si="0"/>
        <v>46735000</v>
      </c>
      <c r="H48" s="217"/>
      <c r="I48" s="217"/>
      <c r="J48" s="217">
        <f t="shared" si="1"/>
        <v>46735000</v>
      </c>
      <c r="K48" s="212"/>
      <c r="L48" s="217">
        <f aca="true" t="shared" si="2" ref="L48:L55">ROUND(J48,-3)</f>
        <v>46735000</v>
      </c>
    </row>
    <row r="49" spans="1:12" ht="15">
      <c r="A49" s="226" t="s">
        <v>241</v>
      </c>
      <c r="B49" s="227">
        <v>2</v>
      </c>
      <c r="C49" s="217">
        <v>10816535</v>
      </c>
      <c r="D49" s="217">
        <v>16293925</v>
      </c>
      <c r="E49" s="217">
        <v>991120.04</v>
      </c>
      <c r="F49" s="217">
        <v>20268803</v>
      </c>
      <c r="G49" s="217">
        <f t="shared" si="0"/>
        <v>48370383.04</v>
      </c>
      <c r="H49" s="217"/>
      <c r="I49" s="217"/>
      <c r="J49" s="217">
        <f t="shared" si="1"/>
        <v>48370383.04</v>
      </c>
      <c r="K49" s="212"/>
      <c r="L49" s="217">
        <f t="shared" si="2"/>
        <v>48370000</v>
      </c>
    </row>
    <row r="50" spans="1:12" ht="15">
      <c r="A50" s="229" t="s">
        <v>242</v>
      </c>
      <c r="B50" s="213">
        <v>3</v>
      </c>
      <c r="C50" s="217">
        <v>7387102</v>
      </c>
      <c r="D50" s="217">
        <v>1397759</v>
      </c>
      <c r="E50" s="217">
        <f>292567+32294-10108+1484700.12</f>
        <v>1799453.12</v>
      </c>
      <c r="F50" s="217">
        <f>419590.99+993688.66+62510.15+66984.7</f>
        <v>1542774.4999999998</v>
      </c>
      <c r="G50" s="217">
        <f t="shared" si="0"/>
        <v>12127088.620000001</v>
      </c>
      <c r="H50" s="217"/>
      <c r="I50" s="217"/>
      <c r="J50" s="217">
        <f t="shared" si="1"/>
        <v>12127088.620000001</v>
      </c>
      <c r="K50" s="212"/>
      <c r="L50" s="217">
        <f t="shared" si="2"/>
        <v>12127000</v>
      </c>
    </row>
    <row r="51" spans="1:12" ht="15">
      <c r="A51" s="226" t="s">
        <v>42</v>
      </c>
      <c r="B51" s="227">
        <v>4</v>
      </c>
      <c r="C51" s="217">
        <v>16852834</v>
      </c>
      <c r="D51" s="217">
        <v>674488</v>
      </c>
      <c r="E51" s="217">
        <f>2915371.55-1195973.75</f>
        <v>1719397.7999999998</v>
      </c>
      <c r="F51" s="217">
        <f>+'[2]Notes'!E77</f>
        <v>0</v>
      </c>
      <c r="G51" s="217">
        <f t="shared" si="0"/>
        <v>19246719.8</v>
      </c>
      <c r="H51" s="217"/>
      <c r="I51" s="217"/>
      <c r="J51" s="217">
        <f t="shared" si="1"/>
        <v>19246719.8</v>
      </c>
      <c r="K51" s="212"/>
      <c r="L51" s="217">
        <f t="shared" si="2"/>
        <v>19247000</v>
      </c>
    </row>
    <row r="52" spans="1:12" ht="15">
      <c r="A52" s="226" t="s">
        <v>429</v>
      </c>
      <c r="B52" s="227"/>
      <c r="C52" s="217">
        <v>0</v>
      </c>
      <c r="D52" s="217">
        <v>0</v>
      </c>
      <c r="E52" s="217">
        <v>0</v>
      </c>
      <c r="F52" s="217">
        <v>0</v>
      </c>
      <c r="G52" s="217">
        <f t="shared" si="0"/>
        <v>0</v>
      </c>
      <c r="H52" s="217"/>
      <c r="I52" s="217"/>
      <c r="J52" s="217">
        <f t="shared" si="1"/>
        <v>0</v>
      </c>
      <c r="K52" s="212"/>
      <c r="L52" s="217">
        <f t="shared" si="2"/>
        <v>0</v>
      </c>
    </row>
    <row r="53" spans="1:12" ht="15">
      <c r="A53" s="226" t="s">
        <v>430</v>
      </c>
      <c r="B53" s="227"/>
      <c r="C53" s="230">
        <v>0</v>
      </c>
      <c r="D53" s="230">
        <v>386605</v>
      </c>
      <c r="E53" s="230">
        <v>0</v>
      </c>
      <c r="F53" s="230">
        <v>0</v>
      </c>
      <c r="G53" s="217">
        <f t="shared" si="0"/>
        <v>386605</v>
      </c>
      <c r="H53" s="217" t="s">
        <v>206</v>
      </c>
      <c r="I53" s="217">
        <f>-G53</f>
        <v>-386605</v>
      </c>
      <c r="J53" s="217">
        <f t="shared" si="1"/>
        <v>0</v>
      </c>
      <c r="K53" s="212"/>
      <c r="L53" s="217">
        <f t="shared" si="2"/>
        <v>0</v>
      </c>
    </row>
    <row r="54" spans="1:12" ht="15">
      <c r="A54" s="231" t="s">
        <v>246</v>
      </c>
      <c r="B54" s="232"/>
      <c r="C54" s="217">
        <v>34838851</v>
      </c>
      <c r="D54" s="217">
        <v>0</v>
      </c>
      <c r="E54" s="217">
        <v>0</v>
      </c>
      <c r="F54" s="217">
        <v>0</v>
      </c>
      <c r="G54" s="217">
        <f t="shared" si="0"/>
        <v>34838851</v>
      </c>
      <c r="H54" s="217" t="s">
        <v>206</v>
      </c>
      <c r="I54" s="217">
        <f>-G54</f>
        <v>-34838851</v>
      </c>
      <c r="J54" s="217">
        <f t="shared" si="1"/>
        <v>0</v>
      </c>
      <c r="K54" s="212">
        <f>J54+J53</f>
        <v>0</v>
      </c>
      <c r="L54" s="217">
        <f t="shared" si="2"/>
        <v>0</v>
      </c>
    </row>
    <row r="55" spans="1:12" ht="15">
      <c r="A55" s="231" t="s">
        <v>431</v>
      </c>
      <c r="B55" s="232"/>
      <c r="C55" s="217">
        <v>0</v>
      </c>
      <c r="D55" s="217">
        <v>1086300</v>
      </c>
      <c r="E55" s="217">
        <v>0</v>
      </c>
      <c r="F55" s="217">
        <v>0</v>
      </c>
      <c r="G55" s="217">
        <f t="shared" si="0"/>
        <v>1086300</v>
      </c>
      <c r="H55" s="217"/>
      <c r="I55" s="217">
        <f>-D55</f>
        <v>-1086300</v>
      </c>
      <c r="J55" s="217">
        <f t="shared" si="1"/>
        <v>0</v>
      </c>
      <c r="K55" s="212"/>
      <c r="L55" s="217">
        <f t="shared" si="2"/>
        <v>0</v>
      </c>
    </row>
    <row r="56" spans="1:12" ht="15">
      <c r="A56" s="226"/>
      <c r="B56" s="227"/>
      <c r="C56" s="233">
        <f>SUM(C47:C55)</f>
        <v>122730033</v>
      </c>
      <c r="D56" s="233">
        <f>SUM(D47:D55)</f>
        <v>42199510</v>
      </c>
      <c r="E56" s="233">
        <f>SUM(E47:E55)</f>
        <v>4903245.33</v>
      </c>
      <c r="F56" s="233">
        <f>SUM(F47:F55)</f>
        <v>23396535.31</v>
      </c>
      <c r="G56" s="233">
        <f t="shared" si="0"/>
        <v>193229323.64000002</v>
      </c>
      <c r="H56" s="217"/>
      <c r="I56" s="217"/>
      <c r="J56" s="233">
        <f>SUM(J47:J55)</f>
        <v>156917567.64000002</v>
      </c>
      <c r="K56" s="212"/>
      <c r="L56" s="233">
        <f>SUM(L47:L55)</f>
        <v>156917000</v>
      </c>
    </row>
    <row r="57" spans="1:12" ht="15">
      <c r="A57" s="226"/>
      <c r="B57" s="227"/>
      <c r="C57" s="217"/>
      <c r="D57" s="217"/>
      <c r="E57" s="217"/>
      <c r="F57" s="217"/>
      <c r="G57" s="212"/>
      <c r="H57" s="212"/>
      <c r="I57" s="212"/>
      <c r="J57" s="212"/>
      <c r="K57" s="212"/>
      <c r="L57" s="212"/>
    </row>
    <row r="58" spans="1:12" ht="15">
      <c r="A58" s="226" t="s">
        <v>247</v>
      </c>
      <c r="B58" s="227"/>
      <c r="C58" s="217"/>
      <c r="D58" s="217"/>
      <c r="E58" s="217"/>
      <c r="F58" s="217"/>
      <c r="G58" s="212"/>
      <c r="H58" s="212"/>
      <c r="I58" s="212"/>
      <c r="J58" s="212"/>
      <c r="K58" s="212"/>
      <c r="L58" s="212"/>
    </row>
    <row r="59" spans="1:12" ht="15">
      <c r="A59" s="226"/>
      <c r="B59" s="227"/>
      <c r="C59" s="217"/>
      <c r="D59" s="217"/>
      <c r="E59" s="217"/>
      <c r="F59" s="217"/>
      <c r="G59" s="212"/>
      <c r="H59" s="212"/>
      <c r="I59" s="212"/>
      <c r="J59" s="212"/>
      <c r="K59" s="212"/>
      <c r="L59" s="212"/>
    </row>
    <row r="60" spans="1:12" ht="15">
      <c r="A60" s="231" t="s">
        <v>432</v>
      </c>
      <c r="B60" s="232">
        <v>5</v>
      </c>
      <c r="C60" s="217">
        <v>4841246</v>
      </c>
      <c r="D60" s="217">
        <v>696832</v>
      </c>
      <c r="E60" s="217">
        <v>0</v>
      </c>
      <c r="F60" s="217">
        <v>0</v>
      </c>
      <c r="G60" s="217">
        <f aca="true" t="shared" si="3" ref="G60:G67">SUM(C60:F60)</f>
        <v>5538078</v>
      </c>
      <c r="H60" s="217"/>
      <c r="I60" s="217"/>
      <c r="J60" s="217">
        <f aca="true" t="shared" si="4" ref="J60:J66">SUM(G60:I60)</f>
        <v>5538078</v>
      </c>
      <c r="K60" s="212"/>
      <c r="L60" s="217">
        <f aca="true" t="shared" si="5" ref="L60:L81">ROUND(J60,-3)</f>
        <v>5538000</v>
      </c>
    </row>
    <row r="61" spans="1:12" ht="15">
      <c r="A61" s="226" t="s">
        <v>249</v>
      </c>
      <c r="B61" s="227"/>
      <c r="C61" s="217">
        <v>24809052</v>
      </c>
      <c r="D61" s="217">
        <v>12126825</v>
      </c>
      <c r="E61" s="217">
        <v>0</v>
      </c>
      <c r="F61" s="217">
        <v>0</v>
      </c>
      <c r="G61" s="217">
        <f t="shared" si="3"/>
        <v>36935877</v>
      </c>
      <c r="H61" s="217"/>
      <c r="I61" s="217"/>
      <c r="J61" s="217">
        <f t="shared" si="4"/>
        <v>36935877</v>
      </c>
      <c r="K61" s="212"/>
      <c r="L61" s="217">
        <f t="shared" si="5"/>
        <v>36936000</v>
      </c>
    </row>
    <row r="62" spans="1:12" ht="15">
      <c r="A62" s="226" t="s">
        <v>250</v>
      </c>
      <c r="B62" s="227"/>
      <c r="C62" s="217">
        <v>16482641</v>
      </c>
      <c r="D62" s="217">
        <v>4308713</v>
      </c>
      <c r="E62" s="217">
        <f>1154110.63+30151.57-2</f>
        <v>1184260.2</v>
      </c>
      <c r="F62" s="217">
        <f>233814.07+3307.38</f>
        <v>237121.45</v>
      </c>
      <c r="G62" s="217">
        <f t="shared" si="3"/>
        <v>22212735.65</v>
      </c>
      <c r="H62" s="217"/>
      <c r="I62" s="217"/>
      <c r="J62" s="217">
        <f t="shared" si="4"/>
        <v>22212735.65</v>
      </c>
      <c r="K62" s="212"/>
      <c r="L62" s="217">
        <f t="shared" si="5"/>
        <v>22213000</v>
      </c>
    </row>
    <row r="63" spans="1:12" ht="15">
      <c r="A63" s="226" t="s">
        <v>21</v>
      </c>
      <c r="B63" s="227"/>
      <c r="C63" s="230">
        <v>840427</v>
      </c>
      <c r="D63" s="230">
        <v>2088</v>
      </c>
      <c r="E63" s="230">
        <v>-21497.56</v>
      </c>
      <c r="F63" s="230">
        <v>-67100.84</v>
      </c>
      <c r="G63" s="217">
        <f t="shared" si="3"/>
        <v>753916.6</v>
      </c>
      <c r="H63" s="217"/>
      <c r="I63" s="217"/>
      <c r="J63" s="217">
        <f t="shared" si="4"/>
        <v>753916.6</v>
      </c>
      <c r="K63" s="212"/>
      <c r="L63" s="217">
        <f t="shared" si="5"/>
        <v>754000</v>
      </c>
    </row>
    <row r="64" spans="1:12" ht="15">
      <c r="A64" s="226" t="s">
        <v>237</v>
      </c>
      <c r="B64" s="227"/>
      <c r="C64" s="217">
        <f>-C27</f>
        <v>10000000</v>
      </c>
      <c r="D64" s="217">
        <v>0</v>
      </c>
      <c r="E64" s="217">
        <v>0</v>
      </c>
      <c r="F64" s="217">
        <v>0</v>
      </c>
      <c r="G64" s="217">
        <f t="shared" si="3"/>
        <v>10000000</v>
      </c>
      <c r="H64" s="217"/>
      <c r="I64" s="217"/>
      <c r="J64" s="217">
        <f t="shared" si="4"/>
        <v>10000000</v>
      </c>
      <c r="K64" s="212"/>
      <c r="L64" s="217">
        <f t="shared" si="5"/>
        <v>10000000</v>
      </c>
    </row>
    <row r="65" spans="1:12" ht="15">
      <c r="A65" s="231" t="s">
        <v>433</v>
      </c>
      <c r="B65" s="232"/>
      <c r="C65" s="217">
        <v>0</v>
      </c>
      <c r="D65" s="217">
        <v>0</v>
      </c>
      <c r="E65" s="217">
        <v>1086300</v>
      </c>
      <c r="F65" s="217">
        <v>0</v>
      </c>
      <c r="G65" s="217">
        <f t="shared" si="3"/>
        <v>1086300</v>
      </c>
      <c r="H65" s="217" t="s">
        <v>206</v>
      </c>
      <c r="I65" s="217">
        <f>-G65</f>
        <v>-1086300</v>
      </c>
      <c r="J65" s="217">
        <f t="shared" si="4"/>
        <v>0</v>
      </c>
      <c r="K65" s="212"/>
      <c r="L65" s="217">
        <f t="shared" si="5"/>
        <v>0</v>
      </c>
    </row>
    <row r="66" spans="1:12" ht="15">
      <c r="A66" s="226" t="s">
        <v>251</v>
      </c>
      <c r="B66" s="227"/>
      <c r="C66" s="217">
        <v>0</v>
      </c>
      <c r="D66" s="217">
        <v>0</v>
      </c>
      <c r="E66" s="217">
        <v>4951799.13</v>
      </c>
      <c r="F66" s="217">
        <f>30900000-626162.4</f>
        <v>30273837.6</v>
      </c>
      <c r="G66" s="217">
        <f t="shared" si="3"/>
        <v>35225636.730000004</v>
      </c>
      <c r="H66" s="217" t="s">
        <v>206</v>
      </c>
      <c r="I66" s="217">
        <f>-G66</f>
        <v>-35225636.730000004</v>
      </c>
      <c r="J66" s="217">
        <f t="shared" si="4"/>
        <v>0</v>
      </c>
      <c r="K66" s="212"/>
      <c r="L66" s="217">
        <f t="shared" si="5"/>
        <v>0</v>
      </c>
    </row>
    <row r="67" spans="1:12" ht="15">
      <c r="A67" s="226"/>
      <c r="B67" s="227"/>
      <c r="C67" s="233">
        <f>SUM(C60:C66)</f>
        <v>56973366</v>
      </c>
      <c r="D67" s="233">
        <f>SUM(D60:D66)</f>
        <v>17134458</v>
      </c>
      <c r="E67" s="233">
        <f>SUM(E60:E66)</f>
        <v>7200861.77</v>
      </c>
      <c r="F67" s="233">
        <f>SUM(F60:F66)</f>
        <v>30443858.21</v>
      </c>
      <c r="G67" s="233">
        <f t="shared" si="3"/>
        <v>111752543.97999999</v>
      </c>
      <c r="H67" s="217"/>
      <c r="I67" s="217"/>
      <c r="J67" s="233">
        <f>SUM(J60:J66)</f>
        <v>75440607.25</v>
      </c>
      <c r="K67" s="212"/>
      <c r="L67" s="233">
        <f>SUM(L60:L66)</f>
        <v>75441000</v>
      </c>
    </row>
    <row r="68" spans="1:12" ht="15">
      <c r="A68" s="226"/>
      <c r="B68" s="227"/>
      <c r="C68" s="217"/>
      <c r="D68" s="217"/>
      <c r="E68" s="217"/>
      <c r="F68" s="217"/>
      <c r="G68" s="212"/>
      <c r="H68" s="212"/>
      <c r="I68" s="212"/>
      <c r="J68" s="212"/>
      <c r="K68" s="212"/>
      <c r="L68" s="217"/>
    </row>
    <row r="69" spans="1:12" ht="15">
      <c r="A69" s="226" t="s">
        <v>254</v>
      </c>
      <c r="B69" s="227"/>
      <c r="C69" s="217">
        <f>C56-C67</f>
        <v>65756667</v>
      </c>
      <c r="D69" s="217">
        <f>D56-D67</f>
        <v>25065052</v>
      </c>
      <c r="E69" s="217">
        <f>E56-E67</f>
        <v>-2297616.4399999995</v>
      </c>
      <c r="F69" s="217">
        <f>F56-F67</f>
        <v>-7047322.900000002</v>
      </c>
      <c r="G69" s="217">
        <f>G56-G67</f>
        <v>81476779.66000003</v>
      </c>
      <c r="H69" s="217"/>
      <c r="I69" s="217"/>
      <c r="J69" s="217">
        <f>SUM(J56-J67)</f>
        <v>81476960.39000002</v>
      </c>
      <c r="K69" s="212"/>
      <c r="L69" s="217">
        <f>SUM(L56-L67)</f>
        <v>81476000</v>
      </c>
    </row>
    <row r="70" spans="1:12" ht="15">
      <c r="A70" s="226" t="s">
        <v>256</v>
      </c>
      <c r="B70" s="227"/>
      <c r="C70" s="230">
        <v>60007189</v>
      </c>
      <c r="D70" s="230">
        <v>1583575</v>
      </c>
      <c r="E70" s="230">
        <f>189300-172853.7</f>
        <v>16446.29999999999</v>
      </c>
      <c r="F70" s="230">
        <f>17058-2880</f>
        <v>14178</v>
      </c>
      <c r="G70" s="230">
        <f aca="true" t="shared" si="6" ref="G70:G77">SUM(C70:F70)</f>
        <v>61621388.3</v>
      </c>
      <c r="H70" s="230"/>
      <c r="I70" s="230"/>
      <c r="J70" s="230">
        <f>SUM(G70:I70)</f>
        <v>61621388.3</v>
      </c>
      <c r="K70" s="212"/>
      <c r="L70" s="217">
        <f t="shared" si="5"/>
        <v>61621000</v>
      </c>
    </row>
    <row r="71" spans="1:12" ht="15">
      <c r="A71" s="226" t="s">
        <v>255</v>
      </c>
      <c r="B71" s="227">
        <v>2</v>
      </c>
      <c r="C71" s="217">
        <f>+'[2]Notes'!B54</f>
        <v>0</v>
      </c>
      <c r="D71" s="217">
        <f>+'[2]Notes'!C54</f>
        <v>0</v>
      </c>
      <c r="E71" s="217">
        <f>+'[2]Notes'!D54</f>
        <v>0</v>
      </c>
      <c r="F71" s="217">
        <v>25734216</v>
      </c>
      <c r="G71" s="217">
        <f t="shared" si="6"/>
        <v>25734216</v>
      </c>
      <c r="H71" s="217"/>
      <c r="I71" s="217"/>
      <c r="J71" s="217">
        <f>SUM(G71:I71)</f>
        <v>25734216</v>
      </c>
      <c r="K71" s="212"/>
      <c r="L71" s="217">
        <f t="shared" si="5"/>
        <v>25734000</v>
      </c>
    </row>
    <row r="72" spans="1:12" ht="15">
      <c r="A72" s="226" t="s">
        <v>258</v>
      </c>
      <c r="B72" s="227"/>
      <c r="C72" s="217">
        <v>7000000</v>
      </c>
      <c r="D72" s="217">
        <v>0</v>
      </c>
      <c r="E72" s="217">
        <v>0</v>
      </c>
      <c r="F72" s="217">
        <v>0</v>
      </c>
      <c r="G72" s="217">
        <f t="shared" si="6"/>
        <v>7000000</v>
      </c>
      <c r="H72" s="217"/>
      <c r="I72" s="217"/>
      <c r="J72" s="217">
        <f>SUM(G72:I72)</f>
        <v>7000000</v>
      </c>
      <c r="K72" s="212"/>
      <c r="L72" s="217">
        <f t="shared" si="5"/>
        <v>7000000</v>
      </c>
    </row>
    <row r="73" spans="1:12" ht="15">
      <c r="A73" s="226" t="s">
        <v>259</v>
      </c>
      <c r="B73" s="227"/>
      <c r="C73" s="217">
        <v>17400000</v>
      </c>
      <c r="D73" s="217">
        <v>0</v>
      </c>
      <c r="E73" s="217">
        <v>0</v>
      </c>
      <c r="F73" s="217">
        <v>0</v>
      </c>
      <c r="G73" s="217">
        <f t="shared" si="6"/>
        <v>17400000</v>
      </c>
      <c r="H73" s="217" t="s">
        <v>204</v>
      </c>
      <c r="I73" s="217">
        <f>-G73</f>
        <v>-17400000</v>
      </c>
      <c r="J73" s="217">
        <f>SUM(G73:I73)</f>
        <v>0</v>
      </c>
      <c r="K73" s="212"/>
      <c r="L73" s="217">
        <f t="shared" si="5"/>
        <v>0</v>
      </c>
    </row>
    <row r="74" spans="1:12" ht="15">
      <c r="A74" s="226" t="s">
        <v>261</v>
      </c>
      <c r="B74" s="227">
        <v>6</v>
      </c>
      <c r="C74" s="217">
        <v>-30000000</v>
      </c>
      <c r="D74" s="217">
        <f>+'[2]Notes'!C86</f>
        <v>0</v>
      </c>
      <c r="E74" s="217">
        <f>+'[2]Notes'!D86</f>
        <v>0</v>
      </c>
      <c r="F74" s="217">
        <f>+'[2]Notes'!E86</f>
        <v>0</v>
      </c>
      <c r="G74" s="217">
        <f t="shared" si="6"/>
        <v>-30000000</v>
      </c>
      <c r="H74" s="217"/>
      <c r="I74" s="217"/>
      <c r="J74" s="217">
        <f>SUM(G74:I74)</f>
        <v>-30000000</v>
      </c>
      <c r="K74" s="212"/>
      <c r="L74" s="217">
        <f t="shared" si="5"/>
        <v>-30000000</v>
      </c>
    </row>
    <row r="75" spans="1:12" ht="15">
      <c r="A75" s="226" t="s">
        <v>263</v>
      </c>
      <c r="B75" s="227">
        <v>7</v>
      </c>
      <c r="C75" s="217">
        <v>0</v>
      </c>
      <c r="D75" s="217">
        <v>0</v>
      </c>
      <c r="E75" s="217">
        <v>0</v>
      </c>
      <c r="F75" s="217">
        <v>0</v>
      </c>
      <c r="G75" s="217">
        <f t="shared" si="6"/>
        <v>0</v>
      </c>
      <c r="H75" s="217"/>
      <c r="I75" s="217"/>
      <c r="J75" s="217">
        <f>SUM(G75)</f>
        <v>0</v>
      </c>
      <c r="K75" s="212"/>
      <c r="L75" s="217">
        <f t="shared" si="5"/>
        <v>0</v>
      </c>
    </row>
    <row r="76" spans="1:12" ht="15">
      <c r="A76" s="226" t="s">
        <v>262</v>
      </c>
      <c r="B76" s="227"/>
      <c r="C76" s="217">
        <v>-215369</v>
      </c>
      <c r="D76" s="217">
        <v>0</v>
      </c>
      <c r="E76" s="217">
        <v>0</v>
      </c>
      <c r="F76" s="217">
        <v>0</v>
      </c>
      <c r="G76" s="217">
        <f t="shared" si="6"/>
        <v>-215369</v>
      </c>
      <c r="H76" s="217"/>
      <c r="I76" s="217"/>
      <c r="J76" s="217">
        <f>SUM(G76:I76)</f>
        <v>-215369</v>
      </c>
      <c r="K76" s="212"/>
      <c r="L76" s="217">
        <f t="shared" si="5"/>
        <v>-215000</v>
      </c>
    </row>
    <row r="77" spans="1:12" ht="15.75" thickBot="1">
      <c r="A77" s="226"/>
      <c r="B77" s="227"/>
      <c r="C77" s="234">
        <f>SUM(C69:C76)</f>
        <v>119948487</v>
      </c>
      <c r="D77" s="234">
        <f>SUM(D69:D76)</f>
        <v>26648627</v>
      </c>
      <c r="E77" s="234">
        <f>SUM(E69:E76)</f>
        <v>-2281170.1399999997</v>
      </c>
      <c r="F77" s="234">
        <f>SUM(F69:F76)</f>
        <v>18701071.099999998</v>
      </c>
      <c r="G77" s="234">
        <f t="shared" si="6"/>
        <v>163017014.96</v>
      </c>
      <c r="H77" s="217"/>
      <c r="I77" s="217"/>
      <c r="J77" s="234">
        <f>SUM(J69:J76)</f>
        <v>145617195.69</v>
      </c>
      <c r="K77" s="212"/>
      <c r="L77" s="234">
        <f>SUM(L69:L76)</f>
        <v>145616000</v>
      </c>
    </row>
    <row r="78" spans="1:12" ht="15.75" thickTop="1">
      <c r="A78" s="226"/>
      <c r="B78" s="227"/>
      <c r="C78" s="217"/>
      <c r="D78" s="228"/>
      <c r="E78" s="212"/>
      <c r="F78" s="212"/>
      <c r="G78" s="212"/>
      <c r="H78" s="212"/>
      <c r="I78" s="212"/>
      <c r="J78" s="212"/>
      <c r="K78" s="212"/>
      <c r="L78" s="217"/>
    </row>
    <row r="79" spans="1:12" ht="15">
      <c r="A79" s="226" t="s">
        <v>266</v>
      </c>
      <c r="B79" s="227"/>
      <c r="C79" s="217"/>
      <c r="D79" s="228"/>
      <c r="E79" s="212"/>
      <c r="F79" s="212"/>
      <c r="G79" s="212"/>
      <c r="H79" s="212"/>
      <c r="I79" s="212"/>
      <c r="J79" s="212"/>
      <c r="K79" s="212"/>
      <c r="L79" s="217"/>
    </row>
    <row r="80" spans="1:12" ht="15">
      <c r="A80" s="226"/>
      <c r="B80" s="227"/>
      <c r="C80" s="235"/>
      <c r="D80" s="228"/>
      <c r="E80" s="212"/>
      <c r="F80" s="212"/>
      <c r="G80" s="212"/>
      <c r="H80" s="212"/>
      <c r="I80" s="212"/>
      <c r="J80" s="212"/>
      <c r="K80" s="212"/>
      <c r="L80" s="217"/>
    </row>
    <row r="81" spans="1:12" ht="15">
      <c r="A81" s="226" t="s">
        <v>267</v>
      </c>
      <c r="B81" s="227"/>
      <c r="C81" s="217">
        <v>20000000</v>
      </c>
      <c r="D81" s="228">
        <v>2000000</v>
      </c>
      <c r="E81" s="217">
        <v>400000</v>
      </c>
      <c r="F81" s="212">
        <v>15000000</v>
      </c>
      <c r="G81" s="217">
        <f>SUM(C81:F81)</f>
        <v>37400000</v>
      </c>
      <c r="H81" s="217" t="s">
        <v>204</v>
      </c>
      <c r="I81" s="217">
        <f>-D81-E81-F81</f>
        <v>-17400000</v>
      </c>
      <c r="J81" s="217">
        <f>SUM(G81:I81)</f>
        <v>20000000</v>
      </c>
      <c r="K81" s="212"/>
      <c r="L81" s="217">
        <f t="shared" si="5"/>
        <v>20000000</v>
      </c>
    </row>
    <row r="82" spans="1:12" ht="15">
      <c r="A82" s="226" t="s">
        <v>273</v>
      </c>
      <c r="B82" s="227"/>
      <c r="C82" s="217">
        <f>+C29</f>
        <v>99948487</v>
      </c>
      <c r="D82" s="217">
        <f>+D29</f>
        <v>24648627</v>
      </c>
      <c r="E82" s="217">
        <f>+E29</f>
        <v>-2681170</v>
      </c>
      <c r="F82" s="217">
        <f>+F29</f>
        <v>3701071</v>
      </c>
      <c r="G82" s="217">
        <f>SUM(C82:F82)</f>
        <v>125617015</v>
      </c>
      <c r="H82" s="217"/>
      <c r="I82" s="217">
        <v>181</v>
      </c>
      <c r="J82" s="236">
        <f>+G82+I82</f>
        <v>125617196</v>
      </c>
      <c r="K82" s="212"/>
      <c r="L82" s="217">
        <f>'[2]P&amp;L'!L60</f>
        <v>0</v>
      </c>
    </row>
    <row r="83" spans="1:12" ht="15.75" thickBot="1">
      <c r="A83" s="226"/>
      <c r="B83" s="227"/>
      <c r="C83" s="234">
        <f aca="true" t="shared" si="7" ref="C83:L83">SUM(C81:C82)</f>
        <v>119948487</v>
      </c>
      <c r="D83" s="234">
        <f t="shared" si="7"/>
        <v>26648627</v>
      </c>
      <c r="E83" s="234">
        <f t="shared" si="7"/>
        <v>-2281170</v>
      </c>
      <c r="F83" s="234">
        <f t="shared" si="7"/>
        <v>18701071</v>
      </c>
      <c r="G83" s="234">
        <f t="shared" si="7"/>
        <v>163017015</v>
      </c>
      <c r="H83" s="217"/>
      <c r="I83" s="217"/>
      <c r="J83" s="234">
        <f t="shared" si="7"/>
        <v>145617196</v>
      </c>
      <c r="K83" s="212"/>
      <c r="L83" s="234">
        <f t="shared" si="7"/>
        <v>20000000</v>
      </c>
    </row>
    <row r="84" spans="1:12" ht="15.75" thickTop="1">
      <c r="A84" s="226"/>
      <c r="B84" s="227"/>
      <c r="C84" s="217"/>
      <c r="D84" s="228"/>
      <c r="E84" s="212"/>
      <c r="F84" s="212"/>
      <c r="G84" s="212"/>
      <c r="H84" s="212"/>
      <c r="I84" s="212"/>
      <c r="J84" s="212"/>
      <c r="K84" s="212"/>
      <c r="L84" s="212"/>
    </row>
    <row r="85" spans="1:12" ht="15">
      <c r="A85" s="226" t="s">
        <v>177</v>
      </c>
      <c r="B85" s="227"/>
      <c r="C85" s="217">
        <f aca="true" t="shared" si="8" ref="C85:J85">+C77-C83</f>
        <v>0</v>
      </c>
      <c r="D85" s="217">
        <f t="shared" si="8"/>
        <v>0</v>
      </c>
      <c r="E85" s="217">
        <f t="shared" si="8"/>
        <v>-0.13999999966472387</v>
      </c>
      <c r="F85" s="217">
        <f t="shared" si="8"/>
        <v>0.09999999776482582</v>
      </c>
      <c r="G85" s="217">
        <f t="shared" si="8"/>
        <v>-0.03999999165534973</v>
      </c>
      <c r="H85" s="217"/>
      <c r="I85" s="217"/>
      <c r="J85" s="217">
        <f t="shared" si="8"/>
        <v>-0.3100000023841858</v>
      </c>
      <c r="K85" s="212"/>
      <c r="L85" s="217">
        <f>+L77-L83</f>
        <v>125616000</v>
      </c>
    </row>
    <row r="86" spans="1:12" ht="15">
      <c r="A86" s="212"/>
      <c r="B86" s="213"/>
      <c r="C86" s="212"/>
      <c r="D86" s="212"/>
      <c r="E86" s="212"/>
      <c r="F86" s="212"/>
      <c r="G86" s="212"/>
      <c r="H86" s="212"/>
      <c r="I86" s="212"/>
      <c r="J86" s="212"/>
      <c r="K86" s="212"/>
      <c r="L86" s="212"/>
    </row>
    <row r="87" spans="1:12" ht="15">
      <c r="A87" s="212"/>
      <c r="B87" s="213"/>
      <c r="C87" s="212"/>
      <c r="D87" s="212"/>
      <c r="E87" s="212"/>
      <c r="F87" s="212"/>
      <c r="G87" s="212"/>
      <c r="H87" s="212"/>
      <c r="I87" s="212"/>
      <c r="J87" s="212"/>
      <c r="K87" s="212"/>
      <c r="L87" s="212"/>
    </row>
    <row r="88" spans="1:12" ht="15">
      <c r="A88" s="212"/>
      <c r="B88" s="213"/>
      <c r="C88" s="212"/>
      <c r="D88" s="212"/>
      <c r="E88" s="212"/>
      <c r="F88" s="212"/>
      <c r="G88" s="212"/>
      <c r="H88" s="212"/>
      <c r="I88" s="212"/>
      <c r="J88" s="212"/>
      <c r="K88" s="212"/>
      <c r="L88" s="212"/>
    </row>
    <row r="89" spans="1:12" ht="15">
      <c r="A89" s="212"/>
      <c r="B89" s="213"/>
      <c r="C89" s="212"/>
      <c r="D89" s="212"/>
      <c r="E89" s="212"/>
      <c r="F89" s="212"/>
      <c r="G89" s="212"/>
      <c r="H89" s="212"/>
      <c r="I89" s="212"/>
      <c r="J89" s="212"/>
      <c r="K89" s="212"/>
      <c r="L89" s="212"/>
    </row>
    <row r="90" spans="1:12" ht="15">
      <c r="A90" s="212"/>
      <c r="B90" s="213"/>
      <c r="C90" s="212"/>
      <c r="D90" s="212"/>
      <c r="E90" s="212"/>
      <c r="F90" s="212"/>
      <c r="G90" s="212"/>
      <c r="H90" s="212"/>
      <c r="I90" s="212"/>
      <c r="J90" s="212"/>
      <c r="K90" s="212"/>
      <c r="L90" s="212"/>
    </row>
    <row r="91" spans="1:12" ht="15">
      <c r="A91" s="212"/>
      <c r="B91" s="213"/>
      <c r="C91" s="212"/>
      <c r="D91" s="212"/>
      <c r="E91" s="212"/>
      <c r="F91" s="212"/>
      <c r="G91" s="212"/>
      <c r="H91" s="212"/>
      <c r="I91" s="212"/>
      <c r="J91" s="212"/>
      <c r="K91" s="212"/>
      <c r="L91" s="212"/>
    </row>
    <row r="92" spans="1:12" ht="15">
      <c r="A92" s="212"/>
      <c r="B92" s="213"/>
      <c r="C92" s="212"/>
      <c r="D92" s="212"/>
      <c r="E92" s="212"/>
      <c r="F92" s="212"/>
      <c r="G92" s="212"/>
      <c r="H92" s="212"/>
      <c r="I92" s="212"/>
      <c r="J92" s="212"/>
      <c r="K92" s="212"/>
      <c r="L92" s="212"/>
    </row>
    <row r="93" spans="1:12" ht="15">
      <c r="A93" s="212"/>
      <c r="B93" s="213"/>
      <c r="C93" s="212"/>
      <c r="D93" s="212"/>
      <c r="E93" s="212"/>
      <c r="F93" s="212"/>
      <c r="G93" s="212"/>
      <c r="H93" s="212"/>
      <c r="I93" s="212"/>
      <c r="J93" s="212"/>
      <c r="K93" s="212"/>
      <c r="L93" s="212"/>
    </row>
    <row r="94" spans="1:12" ht="15">
      <c r="A94" s="212"/>
      <c r="B94" s="213"/>
      <c r="C94" s="212"/>
      <c r="D94" s="212"/>
      <c r="E94" s="212"/>
      <c r="F94" s="212"/>
      <c r="G94" s="212"/>
      <c r="H94" s="212"/>
      <c r="I94" s="212"/>
      <c r="J94" s="212"/>
      <c r="K94" s="212"/>
      <c r="L94" s="212"/>
    </row>
    <row r="95" spans="1:12" ht="15">
      <c r="A95" s="212"/>
      <c r="B95" s="213"/>
      <c r="C95" s="212"/>
      <c r="D95" s="212"/>
      <c r="E95" s="212"/>
      <c r="F95" s="212"/>
      <c r="G95" s="212"/>
      <c r="H95" s="212"/>
      <c r="I95" s="212"/>
      <c r="J95" s="212"/>
      <c r="K95" s="212"/>
      <c r="L95" s="212"/>
    </row>
    <row r="96" spans="1:12" ht="15">
      <c r="A96" s="212"/>
      <c r="B96" s="213"/>
      <c r="C96" s="212"/>
      <c r="D96" s="212"/>
      <c r="E96" s="212"/>
      <c r="F96" s="212"/>
      <c r="G96" s="212"/>
      <c r="H96" s="212"/>
      <c r="I96" s="212"/>
      <c r="J96" s="212"/>
      <c r="K96" s="212"/>
      <c r="L96" s="212"/>
    </row>
    <row r="97" spans="1:12" ht="15">
      <c r="A97" s="212"/>
      <c r="B97" s="213"/>
      <c r="C97" s="212"/>
      <c r="D97" s="212"/>
      <c r="E97" s="212"/>
      <c r="F97" s="212"/>
      <c r="G97" s="212"/>
      <c r="H97" s="212"/>
      <c r="I97" s="212"/>
      <c r="J97" s="212"/>
      <c r="K97" s="212"/>
      <c r="L97" s="212"/>
    </row>
    <row r="98" spans="1:12" ht="15">
      <c r="A98" s="212"/>
      <c r="B98" s="213"/>
      <c r="C98" s="212"/>
      <c r="D98" s="212"/>
      <c r="E98" s="212"/>
      <c r="F98" s="212"/>
      <c r="G98" s="212"/>
      <c r="H98" s="212"/>
      <c r="I98" s="212"/>
      <c r="J98" s="212"/>
      <c r="K98" s="212"/>
      <c r="L98" s="212"/>
    </row>
    <row r="99" spans="1:12" ht="15">
      <c r="A99" s="212"/>
      <c r="B99" s="213"/>
      <c r="C99" s="212"/>
      <c r="D99" s="212"/>
      <c r="E99" s="212"/>
      <c r="F99" s="212"/>
      <c r="G99" s="212"/>
      <c r="H99" s="212"/>
      <c r="I99" s="212"/>
      <c r="J99" s="212"/>
      <c r="K99" s="212"/>
      <c r="L99" s="212"/>
    </row>
    <row r="100" spans="1:12" ht="15">
      <c r="A100" s="212"/>
      <c r="B100" s="213"/>
      <c r="C100" s="212"/>
      <c r="D100" s="212"/>
      <c r="E100" s="212"/>
      <c r="F100" s="212"/>
      <c r="G100" s="212"/>
      <c r="H100" s="212"/>
      <c r="I100" s="212"/>
      <c r="J100" s="212"/>
      <c r="K100" s="212"/>
      <c r="L100" s="212"/>
    </row>
    <row r="101" spans="1:12" ht="15">
      <c r="A101" s="212"/>
      <c r="B101" s="213"/>
      <c r="C101" s="212"/>
      <c r="D101" s="212"/>
      <c r="E101" s="212"/>
      <c r="F101" s="212"/>
      <c r="G101" s="212"/>
      <c r="H101" s="212"/>
      <c r="I101" s="212"/>
      <c r="J101" s="212"/>
      <c r="K101" s="212"/>
      <c r="L101" s="212"/>
    </row>
    <row r="102" spans="1:12" ht="15">
      <c r="A102" s="212"/>
      <c r="B102" s="213"/>
      <c r="C102" s="212"/>
      <c r="D102" s="212"/>
      <c r="E102" s="212"/>
      <c r="F102" s="212"/>
      <c r="G102" s="212"/>
      <c r="H102" s="212"/>
      <c r="I102" s="212"/>
      <c r="J102" s="212"/>
      <c r="K102" s="212"/>
      <c r="L102" s="212"/>
    </row>
    <row r="103" spans="1:12" ht="15">
      <c r="A103" s="212"/>
      <c r="B103" s="213"/>
      <c r="C103" s="212"/>
      <c r="D103" s="212"/>
      <c r="E103" s="212"/>
      <c r="F103" s="212"/>
      <c r="G103" s="212"/>
      <c r="H103" s="212"/>
      <c r="I103" s="212"/>
      <c r="J103" s="212"/>
      <c r="K103" s="212"/>
      <c r="L103" s="212"/>
    </row>
    <row r="104" spans="1:12" ht="15">
      <c r="A104" s="212"/>
      <c r="B104" s="213"/>
      <c r="C104" s="212"/>
      <c r="D104" s="212"/>
      <c r="E104" s="212"/>
      <c r="F104" s="212"/>
      <c r="G104" s="212"/>
      <c r="H104" s="212"/>
      <c r="I104" s="212"/>
      <c r="J104" s="212"/>
      <c r="K104" s="212"/>
      <c r="L104" s="212"/>
    </row>
    <row r="105" spans="1:12" ht="15">
      <c r="A105" s="212"/>
      <c r="B105" s="213"/>
      <c r="C105" s="212"/>
      <c r="D105" s="212"/>
      <c r="E105" s="212"/>
      <c r="F105" s="212"/>
      <c r="G105" s="212"/>
      <c r="H105" s="212"/>
      <c r="I105" s="212"/>
      <c r="J105" s="212"/>
      <c r="K105" s="212"/>
      <c r="L105" s="212"/>
    </row>
    <row r="106" spans="1:12" ht="15">
      <c r="A106" s="212"/>
      <c r="B106" s="213"/>
      <c r="C106" s="212"/>
      <c r="D106" s="212"/>
      <c r="E106" s="212"/>
      <c r="F106" s="212"/>
      <c r="G106" s="212"/>
      <c r="H106" s="212"/>
      <c r="I106" s="212"/>
      <c r="J106" s="212"/>
      <c r="K106" s="212"/>
      <c r="L106" s="212"/>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39"/>
  <sheetViews>
    <sheetView zoomScale="75" zoomScaleNormal="75" workbookViewId="0" topLeftCell="A1">
      <pane xSplit="2" ySplit="4" topLeftCell="E5" activePane="bottomRight" state="frozen"/>
      <selection pane="topLeft" activeCell="A1" sqref="A1"/>
      <selection pane="topRight" activeCell="C1" sqref="C1"/>
      <selection pane="bottomLeft" activeCell="A5" sqref="A5"/>
      <selection pane="bottomRight" activeCell="D9" sqref="D9"/>
    </sheetView>
  </sheetViews>
  <sheetFormatPr defaultColWidth="9.140625" defaultRowHeight="12.75"/>
  <cols>
    <col min="1" max="1" width="2.8515625" style="0" customWidth="1"/>
    <col min="2" max="2" width="62.8515625" style="0" customWidth="1"/>
    <col min="3" max="5" width="12.7109375" style="0" customWidth="1"/>
    <col min="6" max="6" width="2.57421875" style="0" customWidth="1"/>
    <col min="7" max="7" width="12.7109375" style="0" customWidth="1"/>
    <col min="8" max="8" width="2.28125" style="0" customWidth="1"/>
    <col min="12" max="12" width="11.00390625" style="0" customWidth="1"/>
    <col min="13" max="13" width="10.00390625" style="0" bestFit="1" customWidth="1"/>
  </cols>
  <sheetData>
    <row r="1" s="4" customFormat="1" ht="12.75">
      <c r="A1" s="4" t="s">
        <v>115</v>
      </c>
    </row>
    <row r="2" spans="1:13" s="4" customFormat="1" ht="12.75">
      <c r="A2" s="4" t="s">
        <v>149</v>
      </c>
      <c r="I2" s="15">
        <v>1999</v>
      </c>
      <c r="K2" s="15">
        <v>1999</v>
      </c>
      <c r="M2" s="15">
        <v>2000</v>
      </c>
    </row>
    <row r="3" spans="3:13" ht="12.75">
      <c r="C3" s="15" t="s">
        <v>150</v>
      </c>
      <c r="D3" s="15"/>
      <c r="E3" s="15" t="s">
        <v>150</v>
      </c>
      <c r="F3" s="15"/>
      <c r="G3" s="15" t="s">
        <v>150</v>
      </c>
      <c r="I3" s="15" t="s">
        <v>150</v>
      </c>
      <c r="J3" s="15"/>
      <c r="K3" s="15" t="s">
        <v>150</v>
      </c>
      <c r="M3" s="15" t="s">
        <v>150</v>
      </c>
    </row>
    <row r="4" spans="3:13" ht="12.75">
      <c r="C4" s="15" t="s">
        <v>152</v>
      </c>
      <c r="D4" s="15" t="s">
        <v>151</v>
      </c>
      <c r="E4" s="15" t="s">
        <v>163</v>
      </c>
      <c r="F4" s="318" t="s">
        <v>151</v>
      </c>
      <c r="G4" s="15" t="s">
        <v>577</v>
      </c>
      <c r="I4" s="15" t="s">
        <v>152</v>
      </c>
      <c r="J4" s="15" t="s">
        <v>151</v>
      </c>
      <c r="K4" s="15" t="s">
        <v>163</v>
      </c>
      <c r="L4" s="15" t="s">
        <v>151</v>
      </c>
      <c r="M4" s="15" t="s">
        <v>574</v>
      </c>
    </row>
    <row r="5" spans="3:7" ht="12.75">
      <c r="C5" s="28"/>
      <c r="D5" s="28"/>
      <c r="E5" s="28"/>
      <c r="F5" s="28"/>
      <c r="G5" s="28"/>
    </row>
    <row r="6" spans="2:13" ht="13.5" thickBot="1">
      <c r="B6" t="s">
        <v>3</v>
      </c>
      <c r="C6" s="29">
        <v>336297549</v>
      </c>
      <c r="D6" s="29">
        <f>+E6-C6</f>
        <v>118988905</v>
      </c>
      <c r="E6" s="29">
        <f>+'CONS-P&amp;L,BS'!M14</f>
        <v>455286454</v>
      </c>
      <c r="F6" s="30"/>
      <c r="G6" s="30">
        <f>+'CONS-P&amp;L,BS'!L14</f>
        <v>116025991</v>
      </c>
      <c r="H6" s="8"/>
      <c r="I6" s="29">
        <f>+ROUND(C6/1000,0)</f>
        <v>336298</v>
      </c>
      <c r="J6" s="29">
        <f>+ROUND(D6/1000,0)</f>
        <v>118989</v>
      </c>
      <c r="K6" s="29">
        <f>+ROUND(E6/1000,0)</f>
        <v>455286</v>
      </c>
      <c r="L6" s="29">
        <f>+J6-M6</f>
        <v>2963</v>
      </c>
      <c r="M6" s="29">
        <f>+ROUND(G6/1000,0)</f>
        <v>116026</v>
      </c>
    </row>
    <row r="7" spans="3:11" ht="13.5" thickTop="1">
      <c r="C7" s="30"/>
      <c r="D7" s="30"/>
      <c r="E7" s="30"/>
      <c r="F7" s="30"/>
      <c r="G7" s="30"/>
      <c r="H7" s="8"/>
      <c r="I7" s="8">
        <f aca="true" t="shared" si="0" ref="I7:K24">+ROUND(C7/1000,0)</f>
        <v>0</v>
      </c>
      <c r="J7" s="8">
        <f t="shared" si="0"/>
        <v>0</v>
      </c>
      <c r="K7" s="8">
        <f t="shared" si="0"/>
        <v>0</v>
      </c>
    </row>
    <row r="8" spans="2:13" ht="12.75">
      <c r="B8" t="s">
        <v>5</v>
      </c>
      <c r="C8" s="8">
        <v>1247468.61</v>
      </c>
      <c r="D8" s="8">
        <f>+E8-C8</f>
        <v>1113871.39</v>
      </c>
      <c r="E8" s="8">
        <v>2361340</v>
      </c>
      <c r="F8" s="8"/>
      <c r="G8" s="8">
        <f>+'CONS-P&amp;L,BS'!J12</f>
        <v>1271011.9635</v>
      </c>
      <c r="H8" s="8"/>
      <c r="I8" s="8">
        <f t="shared" si="0"/>
        <v>1247</v>
      </c>
      <c r="J8" s="8">
        <f t="shared" si="0"/>
        <v>1114</v>
      </c>
      <c r="K8" s="8">
        <f t="shared" si="0"/>
        <v>2361</v>
      </c>
      <c r="L8" s="8">
        <f>+J8-M8</f>
        <v>-157</v>
      </c>
      <c r="M8" s="30">
        <f>+ROUND(G8/1000,0)</f>
        <v>1271</v>
      </c>
    </row>
    <row r="9" spans="2:13" ht="12.75">
      <c r="B9" t="s">
        <v>8</v>
      </c>
      <c r="C9" s="31">
        <v>1872432.87</v>
      </c>
      <c r="D9" s="31">
        <f>+E9-C9</f>
        <v>1455257.13</v>
      </c>
      <c r="E9" s="31">
        <v>3327690</v>
      </c>
      <c r="F9" s="30"/>
      <c r="G9" s="31">
        <f>+'CONS-P&amp;L,BS'!L10</f>
        <v>43204.759999999995</v>
      </c>
      <c r="H9" s="8"/>
      <c r="I9" s="31">
        <f t="shared" si="0"/>
        <v>1872</v>
      </c>
      <c r="J9" s="31">
        <f t="shared" si="0"/>
        <v>1455</v>
      </c>
      <c r="K9" s="31">
        <f t="shared" si="0"/>
        <v>3328</v>
      </c>
      <c r="L9" s="31">
        <f>+J9-M9</f>
        <v>1412</v>
      </c>
      <c r="M9" s="31">
        <f>+ROUND(G9/1000,0)</f>
        <v>43</v>
      </c>
    </row>
    <row r="10" spans="3:13" ht="12.75">
      <c r="C10" s="8"/>
      <c r="D10" s="8"/>
      <c r="E10" s="8"/>
      <c r="F10" s="8"/>
      <c r="G10" s="8"/>
      <c r="H10" s="8"/>
      <c r="I10" s="8">
        <f t="shared" si="0"/>
        <v>0</v>
      </c>
      <c r="J10" s="8">
        <f t="shared" si="0"/>
        <v>0</v>
      </c>
      <c r="K10" s="8">
        <f t="shared" si="0"/>
        <v>0</v>
      </c>
      <c r="M10" s="16"/>
    </row>
    <row r="11" spans="2:13" ht="12.75">
      <c r="B11" t="s">
        <v>153</v>
      </c>
      <c r="C11" s="8">
        <f>+C19-C14-C15-C16</f>
        <v>28695905.61</v>
      </c>
      <c r="D11" s="8">
        <f>+D19-D14-D15-D16</f>
        <v>8301458.219999999</v>
      </c>
      <c r="E11" s="8">
        <f>+E19-E14-E15-E16</f>
        <v>36997363.830000006</v>
      </c>
      <c r="F11" s="8"/>
      <c r="G11" s="8">
        <f>+G19-G14-G15</f>
        <v>10281952.286055</v>
      </c>
      <c r="H11" s="8"/>
      <c r="I11" s="8">
        <f t="shared" si="0"/>
        <v>28696</v>
      </c>
      <c r="J11" s="8">
        <f t="shared" si="0"/>
        <v>8301</v>
      </c>
      <c r="K11" s="8">
        <f t="shared" si="0"/>
        <v>36997</v>
      </c>
      <c r="L11" s="8">
        <f>+J11-M11</f>
        <v>-1981</v>
      </c>
      <c r="M11" s="30">
        <f aca="true" t="shared" si="1" ref="M11:M16">+ROUND(G11/1000,0)</f>
        <v>10282</v>
      </c>
    </row>
    <row r="12" spans="2:13" ht="12.75">
      <c r="B12" t="s">
        <v>154</v>
      </c>
      <c r="C12" s="8"/>
      <c r="D12" s="8"/>
      <c r="E12" s="8"/>
      <c r="F12" s="8"/>
      <c r="G12" s="8"/>
      <c r="H12" s="8"/>
      <c r="I12" s="8">
        <f t="shared" si="0"/>
        <v>0</v>
      </c>
      <c r="J12" s="8">
        <f t="shared" si="0"/>
        <v>0</v>
      </c>
      <c r="K12" s="8">
        <f t="shared" si="0"/>
        <v>0</v>
      </c>
      <c r="M12" s="30">
        <f t="shared" si="1"/>
        <v>0</v>
      </c>
    </row>
    <row r="13" spans="2:13" ht="12.75">
      <c r="B13" t="s">
        <v>155</v>
      </c>
      <c r="C13" s="8"/>
      <c r="D13" s="8"/>
      <c r="E13" s="8"/>
      <c r="F13" s="8"/>
      <c r="G13" s="8"/>
      <c r="H13" s="8"/>
      <c r="I13" s="8">
        <f t="shared" si="0"/>
        <v>0</v>
      </c>
      <c r="J13" s="8">
        <f t="shared" si="0"/>
        <v>0</v>
      </c>
      <c r="K13" s="8">
        <f t="shared" si="0"/>
        <v>0</v>
      </c>
      <c r="M13" s="30">
        <f t="shared" si="1"/>
        <v>0</v>
      </c>
    </row>
    <row r="14" spans="2:13" ht="12.75">
      <c r="B14" t="s">
        <v>10</v>
      </c>
      <c r="C14" s="8">
        <f>-3894079-943535.61</f>
        <v>-4837614.61</v>
      </c>
      <c r="D14" s="8">
        <f>+E14-C14</f>
        <v>-1174805.4499999993</v>
      </c>
      <c r="E14" s="8">
        <f>-1210508-4801912.06</f>
        <v>-6012420.06</v>
      </c>
      <c r="F14" s="8"/>
      <c r="G14" s="8">
        <f>-'CONS-P&amp;L,BS'!J20</f>
        <v>-1785345.6835550002</v>
      </c>
      <c r="H14" s="8"/>
      <c r="I14" s="8">
        <f t="shared" si="0"/>
        <v>-4838</v>
      </c>
      <c r="J14" s="8">
        <f t="shared" si="0"/>
        <v>-1175</v>
      </c>
      <c r="K14" s="8">
        <f t="shared" si="0"/>
        <v>-6012</v>
      </c>
      <c r="L14" s="8">
        <f>+J14-M14</f>
        <v>610</v>
      </c>
      <c r="M14" s="30">
        <f t="shared" si="1"/>
        <v>-1785</v>
      </c>
    </row>
    <row r="15" spans="2:13" ht="12.75">
      <c r="B15" t="s">
        <v>11</v>
      </c>
      <c r="C15" s="8">
        <f>-1026000-57722-4635-4738-9641-540604</f>
        <v>-1643340</v>
      </c>
      <c r="D15" s="8">
        <f>+E15-C15</f>
        <v>-1266414.77</v>
      </c>
      <c r="E15" s="8">
        <f>-540604-2269270.22-99880.55</f>
        <v>-2909754.77</v>
      </c>
      <c r="F15" s="8"/>
      <c r="G15" s="8">
        <f>-'CONS-P&amp;L,BS'!J21</f>
        <v>-622450.27</v>
      </c>
      <c r="H15" s="8"/>
      <c r="I15" s="8">
        <f t="shared" si="0"/>
        <v>-1643</v>
      </c>
      <c r="J15" s="8">
        <f t="shared" si="0"/>
        <v>-1266</v>
      </c>
      <c r="K15" s="8">
        <f t="shared" si="0"/>
        <v>-2910</v>
      </c>
      <c r="L15" s="8">
        <f>+J15-M15</f>
        <v>-644</v>
      </c>
      <c r="M15" s="30">
        <f t="shared" si="1"/>
        <v>-622</v>
      </c>
    </row>
    <row r="16" spans="2:13" ht="12.75">
      <c r="B16" t="s">
        <v>13</v>
      </c>
      <c r="C16" s="31">
        <v>0</v>
      </c>
      <c r="D16" s="31">
        <f>+E16-C16</f>
        <v>0</v>
      </c>
      <c r="E16" s="31">
        <v>0</v>
      </c>
      <c r="F16" s="30"/>
      <c r="G16" s="31">
        <v>0</v>
      </c>
      <c r="H16" s="8"/>
      <c r="I16" s="31">
        <f t="shared" si="0"/>
        <v>0</v>
      </c>
      <c r="J16" s="31">
        <f t="shared" si="0"/>
        <v>0</v>
      </c>
      <c r="K16" s="31">
        <f t="shared" si="0"/>
        <v>0</v>
      </c>
      <c r="L16" s="6"/>
      <c r="M16" s="31">
        <f t="shared" si="1"/>
        <v>0</v>
      </c>
    </row>
    <row r="17" spans="2:13" ht="12.75">
      <c r="B17" t="s">
        <v>156</v>
      </c>
      <c r="C17" s="8"/>
      <c r="D17" s="8"/>
      <c r="E17" s="8"/>
      <c r="F17" s="8"/>
      <c r="G17" s="8"/>
      <c r="H17" s="8"/>
      <c r="I17" s="8"/>
      <c r="J17" s="8"/>
      <c r="K17" s="8"/>
      <c r="M17" s="16"/>
    </row>
    <row r="18" spans="2:13" ht="12.75">
      <c r="B18" t="s">
        <v>157</v>
      </c>
      <c r="C18" s="8"/>
      <c r="D18" s="8"/>
      <c r="E18" s="8"/>
      <c r="F18" s="8"/>
      <c r="G18" s="8"/>
      <c r="H18" s="8"/>
      <c r="I18" s="8"/>
      <c r="J18" s="8"/>
      <c r="K18" s="8"/>
      <c r="M18" s="16"/>
    </row>
    <row r="19" spans="2:13" ht="12.75">
      <c r="B19" t="s">
        <v>158</v>
      </c>
      <c r="C19" s="8">
        <v>22214951</v>
      </c>
      <c r="D19" s="8">
        <f aca="true" t="shared" si="2" ref="D19:D31">+E19-C19</f>
        <v>5860238</v>
      </c>
      <c r="E19" s="8">
        <f>+'CONS-P&amp;L,BS'!M23</f>
        <v>28075189</v>
      </c>
      <c r="F19" s="8"/>
      <c r="G19" s="8">
        <f>+'CONS-P&amp;L,BS'!L23</f>
        <v>7874156.332500001</v>
      </c>
      <c r="H19" s="8"/>
      <c r="I19" s="8">
        <f aca="true" t="shared" si="3" ref="I19:K33">+ROUND(C19/1000,0)</f>
        <v>22215</v>
      </c>
      <c r="J19" s="8">
        <f t="shared" si="0"/>
        <v>5860</v>
      </c>
      <c r="K19" s="8">
        <f t="shared" si="0"/>
        <v>28075</v>
      </c>
      <c r="L19" s="8">
        <f>+J19-M19</f>
        <v>-2014</v>
      </c>
      <c r="M19" s="30">
        <f>+ROUND(G19/1000,0)</f>
        <v>7874</v>
      </c>
    </row>
    <row r="20" spans="2:13" ht="12.75">
      <c r="B20" t="s">
        <v>17</v>
      </c>
      <c r="C20" s="31">
        <v>3622385</v>
      </c>
      <c r="D20" s="31">
        <f t="shared" si="2"/>
        <v>1820868</v>
      </c>
      <c r="E20" s="31">
        <f>SUM('CONS-P&amp;L,BS'!M25:M26)</f>
        <v>5443253</v>
      </c>
      <c r="F20" s="30"/>
      <c r="G20" s="31">
        <f>+'CONS-P&amp;L,BS'!L26</f>
        <v>1135732.26375</v>
      </c>
      <c r="H20" s="8"/>
      <c r="I20" s="31">
        <f t="shared" si="3"/>
        <v>3622</v>
      </c>
      <c r="J20" s="31">
        <f t="shared" si="0"/>
        <v>1821</v>
      </c>
      <c r="K20" s="31">
        <f t="shared" si="0"/>
        <v>5443</v>
      </c>
      <c r="L20" s="31">
        <f>+J20-M20</f>
        <v>685</v>
      </c>
      <c r="M20" s="31">
        <f>+ROUND(G20/1000,0)</f>
        <v>1136</v>
      </c>
    </row>
    <row r="21" spans="2:13" ht="12.75">
      <c r="B21" t="s">
        <v>19</v>
      </c>
      <c r="C21" s="32">
        <f>+'[1]FS'!$H$17</f>
        <v>25837335.81739755</v>
      </c>
      <c r="D21" s="32">
        <f t="shared" si="2"/>
        <v>7681106.18260245</v>
      </c>
      <c r="E21" s="32">
        <f>SUM(E19:E20)</f>
        <v>33518442</v>
      </c>
      <c r="F21" s="32"/>
      <c r="G21" s="32">
        <f>SUM(G19:G20)</f>
        <v>9009888.596250001</v>
      </c>
      <c r="H21" s="32"/>
      <c r="I21" s="32">
        <f t="shared" si="3"/>
        <v>25837</v>
      </c>
      <c r="J21" s="32">
        <f t="shared" si="0"/>
        <v>7681</v>
      </c>
      <c r="K21" s="32">
        <f t="shared" si="0"/>
        <v>33518</v>
      </c>
      <c r="L21" s="8">
        <f>+J21-M21</f>
        <v>-1329</v>
      </c>
      <c r="M21" s="316">
        <f>+ROUND(G21/1000,0)</f>
        <v>9010</v>
      </c>
    </row>
    <row r="22" spans="2:13" ht="12.75">
      <c r="B22" t="s">
        <v>21</v>
      </c>
      <c r="C22" s="32"/>
      <c r="D22" s="32"/>
      <c r="E22" s="32"/>
      <c r="F22" s="32"/>
      <c r="G22" s="32"/>
      <c r="H22" s="32"/>
      <c r="I22" s="32"/>
      <c r="J22" s="32"/>
      <c r="K22" s="32"/>
      <c r="L22" s="6"/>
      <c r="M22" s="16"/>
    </row>
    <row r="23" spans="2:13" ht="12.75">
      <c r="B23" s="240" t="s">
        <v>439</v>
      </c>
      <c r="C23" s="368">
        <v>0</v>
      </c>
      <c r="D23" s="369"/>
      <c r="E23" s="370">
        <v>0</v>
      </c>
      <c r="F23" s="369"/>
      <c r="G23" s="371">
        <f>+'CONS-P&amp;L,BS'!L33</f>
        <v>-2401891</v>
      </c>
      <c r="H23" s="32"/>
      <c r="I23" s="374"/>
      <c r="J23" s="369"/>
      <c r="K23" s="370">
        <v>0</v>
      </c>
      <c r="L23" s="30">
        <f>+J23-M23</f>
        <v>2402</v>
      </c>
      <c r="M23" s="371">
        <f>+ROUND(G23/1000,0)</f>
        <v>-2402</v>
      </c>
    </row>
    <row r="24" spans="2:13" ht="12.75">
      <c r="B24" s="240" t="s">
        <v>440</v>
      </c>
      <c r="C24" s="372">
        <v>-1107498</v>
      </c>
      <c r="D24" s="31">
        <f t="shared" si="2"/>
        <v>-519627</v>
      </c>
      <c r="E24" s="31">
        <f>+'CONS-P&amp;L,BS'!M31</f>
        <v>-1627125</v>
      </c>
      <c r="F24" s="31"/>
      <c r="G24" s="373">
        <f>+'CONS-P&amp;L,BS'!L31</f>
        <v>-374791.64703750005</v>
      </c>
      <c r="H24" s="8"/>
      <c r="I24" s="372">
        <f t="shared" si="3"/>
        <v>-1107</v>
      </c>
      <c r="J24" s="31">
        <f t="shared" si="0"/>
        <v>-520</v>
      </c>
      <c r="K24" s="31">
        <f t="shared" si="0"/>
        <v>-1627</v>
      </c>
      <c r="L24" s="31">
        <f>+J24-M24</f>
        <v>-145</v>
      </c>
      <c r="M24" s="375">
        <f>+ROUND(G24/1000,0)</f>
        <v>-375</v>
      </c>
    </row>
    <row r="25" spans="3:13" ht="12.75">
      <c r="C25" s="30">
        <f>SUM(C23:C24)</f>
        <v>-1107498</v>
      </c>
      <c r="D25" s="30">
        <f>SUM(D23:D24)</f>
        <v>-519627</v>
      </c>
      <c r="E25" s="30">
        <f>SUM(E23:E24)</f>
        <v>-1627125</v>
      </c>
      <c r="F25" s="30"/>
      <c r="G25" s="30">
        <f>SUM(G23:G24)</f>
        <v>-2776682.6470375</v>
      </c>
      <c r="H25" s="8"/>
      <c r="I25" s="30">
        <f>SUM(I23:I24)</f>
        <v>-1107</v>
      </c>
      <c r="J25" s="30">
        <f>SUM(J23:J24)</f>
        <v>-520</v>
      </c>
      <c r="K25" s="30">
        <f>SUM(K23:K24)</f>
        <v>-1627</v>
      </c>
      <c r="L25" s="30">
        <f>SUM(L23:L24)</f>
        <v>2257</v>
      </c>
      <c r="M25" s="30">
        <f>SUM(M23:M24)</f>
        <v>-2777</v>
      </c>
    </row>
    <row r="26" spans="2:13" ht="12.75">
      <c r="B26" t="s">
        <v>23</v>
      </c>
      <c r="C26" s="32">
        <f>SUM(C21:C24)</f>
        <v>24729837.81739755</v>
      </c>
      <c r="D26" s="32">
        <f t="shared" si="2"/>
        <v>7161479.18260245</v>
      </c>
      <c r="E26" s="32">
        <f>SUM(E21:E24)</f>
        <v>31891317</v>
      </c>
      <c r="F26" s="32"/>
      <c r="G26" s="32">
        <f>SUM(G21:G24)</f>
        <v>6233205.949212501</v>
      </c>
      <c r="H26" s="32"/>
      <c r="I26" s="32">
        <f t="shared" si="3"/>
        <v>24730</v>
      </c>
      <c r="J26" s="32">
        <f t="shared" si="3"/>
        <v>7161</v>
      </c>
      <c r="K26" s="317">
        <f t="shared" si="3"/>
        <v>31891</v>
      </c>
      <c r="L26" s="8">
        <f>+J26-M26</f>
        <v>928</v>
      </c>
      <c r="M26" s="30">
        <f aca="true" t="shared" si="4" ref="M26:M31">+ROUND(G26/1000,0)</f>
        <v>6233</v>
      </c>
    </row>
    <row r="27" spans="2:13" ht="12.75">
      <c r="B27" t="s">
        <v>24</v>
      </c>
      <c r="C27" s="31">
        <v>-6175290</v>
      </c>
      <c r="D27" s="31">
        <f t="shared" si="2"/>
        <v>-2208936</v>
      </c>
      <c r="E27" s="31">
        <f>+'CONS-P&amp;L,BS'!M37</f>
        <v>-8384226</v>
      </c>
      <c r="F27" s="30"/>
      <c r="G27" s="31">
        <f>+'CONS-P&amp;L,BS'!L37</f>
        <v>-1689707.9999999998</v>
      </c>
      <c r="H27" s="8"/>
      <c r="I27" s="31">
        <f t="shared" si="3"/>
        <v>-6175</v>
      </c>
      <c r="J27" s="31">
        <f t="shared" si="3"/>
        <v>-2209</v>
      </c>
      <c r="K27" s="31">
        <f t="shared" si="3"/>
        <v>-8384</v>
      </c>
      <c r="L27" s="31">
        <f>+J27-M27</f>
        <v>-519</v>
      </c>
      <c r="M27" s="31">
        <f t="shared" si="4"/>
        <v>-1690</v>
      </c>
    </row>
    <row r="28" spans="2:13" ht="12.75">
      <c r="B28" t="s">
        <v>26</v>
      </c>
      <c r="C28" s="32">
        <f>SUM(C26:C27)</f>
        <v>18554547.81739755</v>
      </c>
      <c r="D28" s="32">
        <f t="shared" si="2"/>
        <v>4952543.18260245</v>
      </c>
      <c r="E28" s="32">
        <f>SUM(E26:E27)</f>
        <v>23507091</v>
      </c>
      <c r="F28" s="32"/>
      <c r="G28" s="32">
        <f>SUM(G26:G27)</f>
        <v>4543497.949212501</v>
      </c>
      <c r="H28" s="32"/>
      <c r="I28" s="32">
        <f t="shared" si="3"/>
        <v>18555</v>
      </c>
      <c r="J28" s="32">
        <f t="shared" si="3"/>
        <v>4953</v>
      </c>
      <c r="K28" s="32">
        <f t="shared" si="3"/>
        <v>23507</v>
      </c>
      <c r="L28" s="8">
        <f>+J28-M28</f>
        <v>410</v>
      </c>
      <c r="M28" s="316">
        <f t="shared" si="4"/>
        <v>4543</v>
      </c>
    </row>
    <row r="29" spans="2:13" ht="12.75">
      <c r="B29" t="s">
        <v>28</v>
      </c>
      <c r="C29" s="8">
        <v>0</v>
      </c>
      <c r="D29" s="8">
        <f t="shared" si="2"/>
        <v>0</v>
      </c>
      <c r="E29" s="8">
        <v>0</v>
      </c>
      <c r="F29" s="8"/>
      <c r="G29" s="8">
        <v>0</v>
      </c>
      <c r="H29" s="8"/>
      <c r="I29" s="8">
        <f t="shared" si="3"/>
        <v>0</v>
      </c>
      <c r="J29" s="8">
        <f t="shared" si="3"/>
        <v>0</v>
      </c>
      <c r="K29" s="8">
        <f t="shared" si="3"/>
        <v>0</v>
      </c>
      <c r="M29" s="30">
        <f t="shared" si="4"/>
        <v>0</v>
      </c>
    </row>
    <row r="30" spans="2:13" ht="12.75">
      <c r="B30" t="s">
        <v>24</v>
      </c>
      <c r="C30" s="8">
        <v>0</v>
      </c>
      <c r="D30" s="8">
        <f t="shared" si="2"/>
        <v>0</v>
      </c>
      <c r="E30" s="8">
        <v>0</v>
      </c>
      <c r="F30" s="8"/>
      <c r="G30" s="8">
        <v>0</v>
      </c>
      <c r="H30" s="8"/>
      <c r="I30" s="8">
        <f t="shared" si="3"/>
        <v>0</v>
      </c>
      <c r="J30" s="8">
        <f t="shared" si="3"/>
        <v>0</v>
      </c>
      <c r="K30" s="8">
        <f t="shared" si="3"/>
        <v>0</v>
      </c>
      <c r="M30" s="30">
        <f t="shared" si="4"/>
        <v>0</v>
      </c>
    </row>
    <row r="31" spans="2:13" ht="12.75">
      <c r="B31" t="s">
        <v>29</v>
      </c>
      <c r="C31" s="8">
        <v>0</v>
      </c>
      <c r="D31" s="8">
        <f t="shared" si="2"/>
        <v>0</v>
      </c>
      <c r="E31" s="8">
        <v>0</v>
      </c>
      <c r="F31" s="8"/>
      <c r="G31" s="8">
        <v>0</v>
      </c>
      <c r="H31" s="8"/>
      <c r="I31" s="8">
        <f t="shared" si="3"/>
        <v>0</v>
      </c>
      <c r="J31" s="8">
        <f t="shared" si="3"/>
        <v>0</v>
      </c>
      <c r="K31" s="8">
        <f t="shared" si="3"/>
        <v>0</v>
      </c>
      <c r="M31" s="30">
        <f t="shared" si="4"/>
        <v>0</v>
      </c>
    </row>
    <row r="32" spans="2:13" ht="12.75">
      <c r="B32" t="s">
        <v>159</v>
      </c>
      <c r="D32" s="8"/>
      <c r="H32" s="8"/>
      <c r="I32" s="8"/>
      <c r="J32" s="8"/>
      <c r="K32" s="8"/>
      <c r="M32" s="16"/>
    </row>
    <row r="33" spans="2:13" ht="13.5" thickBot="1">
      <c r="B33" t="s">
        <v>160</v>
      </c>
      <c r="C33" s="33">
        <f>SUM(C28:C31)</f>
        <v>18554547.81739755</v>
      </c>
      <c r="D33" s="33">
        <f>+E33-C33</f>
        <v>4952543.18260245</v>
      </c>
      <c r="E33" s="33">
        <f>SUM(E28:E31)</f>
        <v>23507091</v>
      </c>
      <c r="F33" s="316"/>
      <c r="G33" s="33">
        <f>SUM(G28:G31)</f>
        <v>4543497.949212501</v>
      </c>
      <c r="H33" s="32"/>
      <c r="I33" s="33">
        <f>+ROUND(C33/1000,0)</f>
        <v>18555</v>
      </c>
      <c r="J33" s="33">
        <f t="shared" si="3"/>
        <v>4953</v>
      </c>
      <c r="K33" s="33">
        <f>+ROUND(E33/1000,0)</f>
        <v>23507</v>
      </c>
      <c r="L33" s="8">
        <f>+J33-M33</f>
        <v>410</v>
      </c>
      <c r="M33" s="33">
        <f>+ROUND(G33/1000,0)</f>
        <v>4543</v>
      </c>
    </row>
    <row r="34" spans="2:9" ht="13.5" thickTop="1">
      <c r="B34" t="s">
        <v>161</v>
      </c>
      <c r="C34" s="8"/>
      <c r="D34" s="8"/>
      <c r="E34" s="8"/>
      <c r="F34" s="8"/>
      <c r="G34" s="8"/>
      <c r="H34" s="8"/>
      <c r="I34" s="8"/>
    </row>
    <row r="35" spans="2:9" ht="12.75">
      <c r="B35" t="s">
        <v>162</v>
      </c>
      <c r="C35" s="8"/>
      <c r="D35" s="8"/>
      <c r="E35" s="8"/>
      <c r="F35" s="8"/>
      <c r="G35" s="8"/>
      <c r="H35" s="8"/>
      <c r="I35" s="8"/>
    </row>
    <row r="36" spans="2:9" ht="12.75">
      <c r="B36" t="s">
        <v>575</v>
      </c>
      <c r="C36" s="34">
        <f>+C28/C39</f>
        <v>0.247393970898634</v>
      </c>
      <c r="D36" s="34">
        <f>+D28/D39</f>
        <v>0.066033909101366</v>
      </c>
      <c r="E36" s="34">
        <f>+E28/E39</f>
        <v>0.31342788</v>
      </c>
      <c r="F36" s="34"/>
      <c r="G36" s="34">
        <f>+G33/G39</f>
        <v>0.06057997265616668</v>
      </c>
      <c r="H36" s="8"/>
      <c r="I36" s="8"/>
    </row>
    <row r="37" spans="2:9" ht="12.75">
      <c r="B37" t="s">
        <v>576</v>
      </c>
      <c r="C37" s="34"/>
      <c r="D37" s="34"/>
      <c r="E37" s="34"/>
      <c r="F37" s="34"/>
      <c r="G37" s="34"/>
      <c r="H37" s="8"/>
      <c r="I37" s="8"/>
    </row>
    <row r="39" spans="2:7" ht="12.75">
      <c r="B39" t="s">
        <v>58</v>
      </c>
      <c r="C39" s="8">
        <v>75000000</v>
      </c>
      <c r="D39" s="8">
        <v>75000000</v>
      </c>
      <c r="E39" s="8">
        <v>75000000</v>
      </c>
      <c r="F39" s="8"/>
      <c r="G39" s="8">
        <v>75000000</v>
      </c>
    </row>
  </sheetData>
  <printOptions/>
  <pageMargins left="0.75" right="0.75" top="1" bottom="1" header="0.5" footer="0.5"/>
  <pageSetup horizontalDpi="300" verticalDpi="300" orientation="landscape" scale="80"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75" zoomScaleNormal="75" workbookViewId="0" topLeftCell="A1">
      <selection activeCell="B5" sqref="B5"/>
    </sheetView>
  </sheetViews>
  <sheetFormatPr defaultColWidth="9.140625" defaultRowHeight="12.75"/>
  <cols>
    <col min="1" max="1" width="4.28125" style="0" customWidth="1"/>
  </cols>
  <sheetData>
    <row r="1" ht="12.75">
      <c r="A1" s="4" t="s">
        <v>115</v>
      </c>
    </row>
    <row r="2" ht="12.75">
      <c r="A2" s="4" t="s">
        <v>394</v>
      </c>
    </row>
    <row r="3" ht="12.75">
      <c r="A3" s="4" t="s">
        <v>434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B163"/>
  <sheetViews>
    <sheetView zoomScale="75" zoomScaleNormal="75" workbookViewId="0" topLeftCell="A1">
      <pane xSplit="2" ySplit="8" topLeftCell="D132" activePane="bottomRight" state="frozen"/>
      <selection pane="topLeft" activeCell="A1" sqref="A1"/>
      <selection pane="topRight" activeCell="C1" sqref="C1"/>
      <selection pane="bottomLeft" activeCell="A7" sqref="A7"/>
      <selection pane="bottomRight" activeCell="I127" sqref="I127"/>
    </sheetView>
  </sheetViews>
  <sheetFormatPr defaultColWidth="12.7109375" defaultRowHeight="12.75"/>
  <cols>
    <col min="1" max="1" width="44.00390625" style="52" customWidth="1"/>
    <col min="2" max="2" width="6.7109375" style="51" hidden="1" customWidth="1"/>
    <col min="3" max="4" width="17.28125" style="52" customWidth="1"/>
    <col min="5" max="5" width="16.28125" style="52" hidden="1" customWidth="1"/>
    <col min="6" max="6" width="14.57421875" style="52" hidden="1" customWidth="1"/>
    <col min="7" max="7" width="14.57421875" style="53" hidden="1" customWidth="1"/>
    <col min="8" max="13" width="17.28125" style="52" customWidth="1"/>
    <col min="14" max="14" width="11.421875" style="52" hidden="1" customWidth="1"/>
    <col min="15" max="15" width="13.28125" style="52" hidden="1" customWidth="1"/>
    <col min="16" max="17" width="13.7109375" style="52" hidden="1" customWidth="1"/>
    <col min="18" max="20" width="13.7109375" style="52" customWidth="1"/>
    <col min="21" max="22" width="4.7109375" style="52" customWidth="1"/>
    <col min="23" max="42" width="13.7109375" style="52" customWidth="1"/>
    <col min="43" max="43" width="3.7109375" style="52" customWidth="1"/>
    <col min="44" max="44" width="15.7109375" style="52" customWidth="1"/>
    <col min="45" max="54" width="12.7109375" style="52" customWidth="1"/>
    <col min="55" max="16384" width="12.7109375" style="54" customWidth="1"/>
  </cols>
  <sheetData>
    <row r="1" ht="15.75">
      <c r="A1" s="499" t="s">
        <v>115</v>
      </c>
    </row>
    <row r="2" ht="15.75">
      <c r="A2" s="500" t="s">
        <v>585</v>
      </c>
    </row>
    <row r="3" ht="15.75">
      <c r="A3" s="499" t="s">
        <v>584</v>
      </c>
    </row>
    <row r="4" ht="15.75">
      <c r="A4" s="499"/>
    </row>
    <row r="5" ht="15.75">
      <c r="A5" s="499"/>
    </row>
    <row r="6" spans="1:13" ht="15">
      <c r="A6" s="50"/>
      <c r="C6" s="344"/>
      <c r="D6" s="336"/>
      <c r="E6" s="344"/>
      <c r="F6" s="336"/>
      <c r="G6" s="337"/>
      <c r="H6" s="344"/>
      <c r="I6" s="344"/>
      <c r="J6" s="344"/>
      <c r="K6" s="344"/>
      <c r="L6" s="342" t="s">
        <v>150</v>
      </c>
      <c r="M6" s="342" t="s">
        <v>583</v>
      </c>
    </row>
    <row r="7" spans="1:54" s="62" customFormat="1" ht="15">
      <c r="A7" s="55"/>
      <c r="B7" s="56" t="s">
        <v>189</v>
      </c>
      <c r="C7" s="343" t="s">
        <v>190</v>
      </c>
      <c r="D7" s="339" t="s">
        <v>191</v>
      </c>
      <c r="E7" s="346" t="s">
        <v>192</v>
      </c>
      <c r="F7" s="347"/>
      <c r="H7" s="425" t="s">
        <v>646</v>
      </c>
      <c r="I7" s="343" t="s">
        <v>194</v>
      </c>
      <c r="J7" s="343" t="s">
        <v>195</v>
      </c>
      <c r="K7" s="343" t="s">
        <v>196</v>
      </c>
      <c r="L7" s="345" t="s">
        <v>197</v>
      </c>
      <c r="M7" s="343" t="s">
        <v>540</v>
      </c>
      <c r="N7" s="56"/>
      <c r="O7" s="59" t="s">
        <v>197</v>
      </c>
      <c r="P7" s="56" t="s">
        <v>198</v>
      </c>
      <c r="Q7" s="56" t="s">
        <v>441</v>
      </c>
      <c r="R7" s="56"/>
      <c r="S7" s="56"/>
      <c r="T7" s="56"/>
      <c r="U7" s="56" t="s">
        <v>199</v>
      </c>
      <c r="V7" s="56" t="s">
        <v>200</v>
      </c>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row>
    <row r="8" spans="1:54" s="62" customFormat="1" ht="15">
      <c r="A8" s="63"/>
      <c r="B8" s="64"/>
      <c r="C8" s="334" t="s">
        <v>201</v>
      </c>
      <c r="D8" s="333" t="s">
        <v>201</v>
      </c>
      <c r="E8" s="328" t="s">
        <v>201</v>
      </c>
      <c r="F8" s="333" t="s">
        <v>202</v>
      </c>
      <c r="G8" s="340" t="s">
        <v>203</v>
      </c>
      <c r="H8" s="334" t="s">
        <v>201</v>
      </c>
      <c r="I8" s="334" t="s">
        <v>201</v>
      </c>
      <c r="J8" s="334" t="s">
        <v>201</v>
      </c>
      <c r="K8" s="334" t="s">
        <v>201</v>
      </c>
      <c r="L8" s="334" t="s">
        <v>201</v>
      </c>
      <c r="M8" s="334" t="s">
        <v>201</v>
      </c>
      <c r="N8" s="65"/>
      <c r="O8" s="65" t="s">
        <v>201</v>
      </c>
      <c r="P8" s="65" t="s">
        <v>201</v>
      </c>
      <c r="Q8" s="65"/>
      <c r="R8" s="65"/>
      <c r="S8" s="65"/>
      <c r="T8" s="65"/>
      <c r="U8" s="65"/>
      <c r="V8" s="65"/>
      <c r="W8" s="68" t="s">
        <v>204</v>
      </c>
      <c r="X8" s="68" t="s">
        <v>205</v>
      </c>
      <c r="Y8" s="68" t="s">
        <v>206</v>
      </c>
      <c r="Z8" s="68" t="s">
        <v>207</v>
      </c>
      <c r="AA8" s="68" t="s">
        <v>208</v>
      </c>
      <c r="AB8" s="68" t="s">
        <v>209</v>
      </c>
      <c r="AC8" s="68" t="s">
        <v>210</v>
      </c>
      <c r="AD8" s="68" t="s">
        <v>211</v>
      </c>
      <c r="AE8" s="68" t="s">
        <v>212</v>
      </c>
      <c r="AF8" s="68" t="s">
        <v>213</v>
      </c>
      <c r="AG8" s="68" t="s">
        <v>214</v>
      </c>
      <c r="AH8" s="68" t="s">
        <v>215</v>
      </c>
      <c r="AI8" s="68" t="s">
        <v>216</v>
      </c>
      <c r="AJ8" s="68" t="s">
        <v>217</v>
      </c>
      <c r="AK8" s="68" t="s">
        <v>218</v>
      </c>
      <c r="AL8" s="68" t="s">
        <v>219</v>
      </c>
      <c r="AM8" s="68" t="s">
        <v>220</v>
      </c>
      <c r="AN8" s="68" t="s">
        <v>221</v>
      </c>
      <c r="AO8" s="68" t="s">
        <v>222</v>
      </c>
      <c r="AP8" s="68" t="s">
        <v>223</v>
      </c>
      <c r="AQ8" s="68"/>
      <c r="AR8" s="61" t="s">
        <v>224</v>
      </c>
      <c r="AS8" s="61"/>
      <c r="AT8" s="61"/>
      <c r="AU8" s="61"/>
      <c r="AV8" s="61"/>
      <c r="AW8" s="61"/>
      <c r="AX8" s="61"/>
      <c r="AY8" s="61"/>
      <c r="AZ8" s="61"/>
      <c r="BA8" s="61"/>
      <c r="BB8" s="61"/>
    </row>
    <row r="9" spans="1:54" s="62" customFormat="1" ht="15.75">
      <c r="A9" s="426"/>
      <c r="B9" s="427"/>
      <c r="C9" s="428"/>
      <c r="D9" s="429"/>
      <c r="E9" s="428"/>
      <c r="F9" s="430"/>
      <c r="G9" s="431"/>
      <c r="H9" s="428"/>
      <c r="I9" s="428"/>
      <c r="J9" s="428"/>
      <c r="K9" s="428"/>
      <c r="L9" s="430"/>
      <c r="M9" s="428"/>
      <c r="N9" s="65"/>
      <c r="O9" s="61"/>
      <c r="P9" s="61"/>
      <c r="Q9" s="61"/>
      <c r="R9" s="61"/>
      <c r="S9" s="61"/>
      <c r="T9" s="61"/>
      <c r="U9" s="61"/>
      <c r="V9" s="61"/>
      <c r="W9" s="68"/>
      <c r="X9" s="68"/>
      <c r="Y9" s="68"/>
      <c r="Z9" s="68"/>
      <c r="AA9" s="68"/>
      <c r="AB9" s="68"/>
      <c r="AC9" s="68"/>
      <c r="AD9" s="68"/>
      <c r="AE9" s="68"/>
      <c r="AF9" s="68"/>
      <c r="AG9" s="68"/>
      <c r="AH9" s="68"/>
      <c r="AI9" s="68"/>
      <c r="AJ9" s="68"/>
      <c r="AK9" s="68"/>
      <c r="AL9" s="68"/>
      <c r="AM9" s="68"/>
      <c r="AN9" s="68"/>
      <c r="AO9" s="68"/>
      <c r="AP9" s="68"/>
      <c r="AQ9" s="68"/>
      <c r="AR9" s="61"/>
      <c r="AS9" s="61"/>
      <c r="AT9" s="61"/>
      <c r="AU9" s="61"/>
      <c r="AV9" s="61"/>
      <c r="AW9" s="61"/>
      <c r="AX9" s="61"/>
      <c r="AY9" s="61"/>
      <c r="AZ9" s="61"/>
      <c r="BA9" s="61"/>
      <c r="BB9" s="61"/>
    </row>
    <row r="10" spans="1:54" s="62" customFormat="1" ht="16.5" hidden="1">
      <c r="A10" s="432" t="s">
        <v>615</v>
      </c>
      <c r="B10" s="433"/>
      <c r="C10" s="434">
        <v>23616</v>
      </c>
      <c r="D10" s="435">
        <v>0</v>
      </c>
      <c r="E10" s="434"/>
      <c r="F10" s="436"/>
      <c r="G10" s="437"/>
      <c r="H10" s="434"/>
      <c r="I10" s="434">
        <v>19588.76</v>
      </c>
      <c r="J10" s="434">
        <f>+C10+D10+E10+H10+I10</f>
        <v>43204.759999999995</v>
      </c>
      <c r="K10" s="434"/>
      <c r="L10" s="436">
        <f>SUM(J10:K10)</f>
        <v>43204.759999999995</v>
      </c>
      <c r="M10" s="434"/>
      <c r="N10" s="70"/>
      <c r="O10" s="69">
        <f>+ROUND(L10/1000,0)</f>
        <v>43</v>
      </c>
      <c r="P10" s="69">
        <f>+ROUND(M10/1000,0)</f>
        <v>0</v>
      </c>
      <c r="Q10" s="69"/>
      <c r="R10" s="69"/>
      <c r="S10" s="69"/>
      <c r="T10" s="69"/>
      <c r="U10" s="69"/>
      <c r="V10" s="69"/>
      <c r="W10" s="68"/>
      <c r="X10" s="68"/>
      <c r="Y10" s="68"/>
      <c r="Z10" s="68"/>
      <c r="AA10" s="68"/>
      <c r="AB10" s="68"/>
      <c r="AC10" s="68"/>
      <c r="AD10" s="68"/>
      <c r="AE10" s="68"/>
      <c r="AF10" s="68"/>
      <c r="AG10" s="68"/>
      <c r="AH10" s="68"/>
      <c r="AI10" s="68"/>
      <c r="AJ10" s="68"/>
      <c r="AK10" s="68"/>
      <c r="AL10" s="68"/>
      <c r="AM10" s="68"/>
      <c r="AN10" s="68"/>
      <c r="AO10" s="68"/>
      <c r="AP10" s="68"/>
      <c r="AQ10" s="68"/>
      <c r="AR10" s="61"/>
      <c r="AS10" s="61"/>
      <c r="AT10" s="61"/>
      <c r="AU10" s="61"/>
      <c r="AV10" s="61"/>
      <c r="AW10" s="61"/>
      <c r="AX10" s="61"/>
      <c r="AY10" s="61"/>
      <c r="AZ10" s="61"/>
      <c r="BA10" s="61"/>
      <c r="BB10" s="61"/>
    </row>
    <row r="11" spans="1:54" s="62" customFormat="1" ht="16.5" hidden="1">
      <c r="A11" s="432" t="s">
        <v>225</v>
      </c>
      <c r="B11" s="433"/>
      <c r="C11" s="434">
        <v>0</v>
      </c>
      <c r="D11" s="435">
        <f>+D14</f>
        <v>116025991</v>
      </c>
      <c r="E11" s="434"/>
      <c r="F11" s="436"/>
      <c r="G11" s="437"/>
      <c r="H11" s="434"/>
      <c r="I11" s="434">
        <v>0</v>
      </c>
      <c r="J11" s="434">
        <f>SUM(C11:I11)</f>
        <v>116025991</v>
      </c>
      <c r="K11" s="434"/>
      <c r="L11" s="436">
        <f>SUM(J11:K11)</f>
        <v>116025991</v>
      </c>
      <c r="M11" s="434">
        <v>0</v>
      </c>
      <c r="N11" s="70"/>
      <c r="O11" s="69">
        <f>+ROUND(L11/1000,0)</f>
        <v>116026</v>
      </c>
      <c r="P11" s="69"/>
      <c r="Q11" s="69"/>
      <c r="R11" s="69"/>
      <c r="S11" s="69"/>
      <c r="T11" s="69"/>
      <c r="U11" s="69"/>
      <c r="V11" s="69"/>
      <c r="W11" s="68"/>
      <c r="X11" s="68"/>
      <c r="Y11" s="68"/>
      <c r="Z11" s="68"/>
      <c r="AA11" s="68"/>
      <c r="AB11" s="68"/>
      <c r="AC11" s="68"/>
      <c r="AD11" s="68"/>
      <c r="AE11" s="68"/>
      <c r="AF11" s="68"/>
      <c r="AG11" s="68"/>
      <c r="AH11" s="68"/>
      <c r="AI11" s="68"/>
      <c r="AJ11" s="68"/>
      <c r="AK11" s="68"/>
      <c r="AL11" s="68"/>
      <c r="AM11" s="68"/>
      <c r="AN11" s="68"/>
      <c r="AO11" s="68"/>
      <c r="AP11" s="68"/>
      <c r="AQ11" s="68"/>
      <c r="AR11" s="61"/>
      <c r="AS11" s="61"/>
      <c r="AT11" s="61"/>
      <c r="AU11" s="61"/>
      <c r="AV11" s="61"/>
      <c r="AW11" s="61"/>
      <c r="AX11" s="61"/>
      <c r="AY11" s="61"/>
      <c r="AZ11" s="61"/>
      <c r="BA11" s="61"/>
      <c r="BB11" s="61"/>
    </row>
    <row r="12" spans="1:54" s="62" customFormat="1" ht="16.5" hidden="1">
      <c r="A12" s="438" t="s">
        <v>226</v>
      </c>
      <c r="B12" s="439"/>
      <c r="C12" s="440">
        <f>+C14</f>
        <v>0</v>
      </c>
      <c r="D12" s="441"/>
      <c r="E12" s="440"/>
      <c r="F12" s="442">
        <f>+F14</f>
        <v>687591</v>
      </c>
      <c r="G12" s="443">
        <f>+G14</f>
        <v>1.8485</v>
      </c>
      <c r="H12" s="440">
        <f>+H14</f>
        <v>1271011.9635</v>
      </c>
      <c r="I12" s="440"/>
      <c r="J12" s="440">
        <f>+C12+D12+E12+H12+I12</f>
        <v>1271011.9635</v>
      </c>
      <c r="K12" s="440"/>
      <c r="L12" s="442">
        <f>SUM(J12:K12)</f>
        <v>1271011.9635</v>
      </c>
      <c r="M12" s="440">
        <v>2361340</v>
      </c>
      <c r="N12" s="70"/>
      <c r="O12" s="69">
        <f>+ROUND(L12/1000,0)</f>
        <v>1271</v>
      </c>
      <c r="P12" s="69">
        <f>+ROUND(M12/1000,0)</f>
        <v>2361</v>
      </c>
      <c r="Q12" s="69"/>
      <c r="R12" s="69"/>
      <c r="S12" s="69"/>
      <c r="T12" s="69"/>
      <c r="U12" s="69"/>
      <c r="V12" s="69"/>
      <c r="W12" s="68"/>
      <c r="X12" s="68"/>
      <c r="Y12" s="68"/>
      <c r="Z12" s="68"/>
      <c r="AA12" s="68"/>
      <c r="AB12" s="68"/>
      <c r="AC12" s="68"/>
      <c r="AD12" s="68"/>
      <c r="AE12" s="68"/>
      <c r="AF12" s="68"/>
      <c r="AG12" s="68"/>
      <c r="AH12" s="68"/>
      <c r="AI12" s="68"/>
      <c r="AJ12" s="68"/>
      <c r="AK12" s="68"/>
      <c r="AL12" s="68"/>
      <c r="AM12" s="68"/>
      <c r="AN12" s="68"/>
      <c r="AO12" s="68"/>
      <c r="AP12" s="68"/>
      <c r="AQ12" s="68"/>
      <c r="AR12" s="61"/>
      <c r="AS12" s="61"/>
      <c r="AT12" s="61"/>
      <c r="AU12" s="61"/>
      <c r="AV12" s="61"/>
      <c r="AW12" s="61"/>
      <c r="AX12" s="61"/>
      <c r="AY12" s="61"/>
      <c r="AZ12" s="61"/>
      <c r="BA12" s="61"/>
      <c r="BB12" s="61"/>
    </row>
    <row r="13" spans="1:54" s="62" customFormat="1" ht="16.5">
      <c r="A13" s="444"/>
      <c r="B13" s="445"/>
      <c r="C13" s="446"/>
      <c r="D13" s="286"/>
      <c r="E13" s="446"/>
      <c r="F13" s="444"/>
      <c r="G13" s="447"/>
      <c r="H13" s="446"/>
      <c r="I13" s="446"/>
      <c r="J13" s="446"/>
      <c r="K13" s="446"/>
      <c r="L13" s="444"/>
      <c r="M13" s="446"/>
      <c r="N13" s="70"/>
      <c r="O13" s="69"/>
      <c r="P13" s="69"/>
      <c r="Q13" s="69"/>
      <c r="R13" s="69"/>
      <c r="S13" s="69"/>
      <c r="T13" s="69"/>
      <c r="U13" s="69"/>
      <c r="V13" s="69"/>
      <c r="W13" s="68"/>
      <c r="X13" s="68"/>
      <c r="Y13" s="68"/>
      <c r="Z13" s="68"/>
      <c r="AA13" s="68"/>
      <c r="AB13" s="68"/>
      <c r="AC13" s="68"/>
      <c r="AD13" s="68"/>
      <c r="AE13" s="68"/>
      <c r="AF13" s="68"/>
      <c r="AG13" s="68"/>
      <c r="AH13" s="68"/>
      <c r="AI13" s="68"/>
      <c r="AJ13" s="68"/>
      <c r="AK13" s="68"/>
      <c r="AL13" s="68"/>
      <c r="AM13" s="68"/>
      <c r="AN13" s="68"/>
      <c r="AO13" s="68"/>
      <c r="AP13" s="68"/>
      <c r="AQ13" s="68"/>
      <c r="AR13" s="61"/>
      <c r="AS13" s="61"/>
      <c r="AT13" s="61"/>
      <c r="AU13" s="61"/>
      <c r="AV13" s="61"/>
      <c r="AW13" s="61"/>
      <c r="AX13" s="61"/>
      <c r="AY13" s="61"/>
      <c r="AZ13" s="61"/>
      <c r="BA13" s="61"/>
      <c r="BB13" s="61"/>
    </row>
    <row r="14" spans="1:54" ht="16.5" thickBot="1">
      <c r="A14" s="452" t="s">
        <v>3</v>
      </c>
      <c r="B14" s="453"/>
      <c r="C14" s="454">
        <v>0</v>
      </c>
      <c r="D14" s="455">
        <f>+'ACC-DMSB'!J6</f>
        <v>116025991</v>
      </c>
      <c r="E14" s="454"/>
      <c r="F14" s="456">
        <v>687591</v>
      </c>
      <c r="G14" s="457">
        <f>(1.867+1.83)/2</f>
        <v>1.8485</v>
      </c>
      <c r="H14" s="454">
        <f>F14*G14</f>
        <v>1271011.9635</v>
      </c>
      <c r="I14" s="454">
        <v>0</v>
      </c>
      <c r="J14" s="454">
        <f>+C14+D14+E14+H14+I14</f>
        <v>117297002.9635</v>
      </c>
      <c r="K14" s="428">
        <f>-H14</f>
        <v>-1271011.9635</v>
      </c>
      <c r="L14" s="456">
        <f>SUM(J14:K14)</f>
        <v>116025991</v>
      </c>
      <c r="M14" s="454">
        <v>455286454</v>
      </c>
      <c r="N14" s="73"/>
      <c r="O14" s="241">
        <f>+ROUND(L14/1000,0)</f>
        <v>116026</v>
      </c>
      <c r="P14" s="74">
        <f>+ROUND(M14/1000,0)</f>
        <v>455286</v>
      </c>
      <c r="Q14" s="75"/>
      <c r="R14" s="75"/>
      <c r="S14" s="75"/>
      <c r="T14" s="75"/>
      <c r="U14" s="75"/>
      <c r="V14" s="75"/>
      <c r="Z14" s="52">
        <v>0</v>
      </c>
      <c r="AG14" s="52">
        <v>0</v>
      </c>
      <c r="AR14" s="52">
        <f>SUM(W14:AQ14)</f>
        <v>0</v>
      </c>
      <c r="AT14" s="54"/>
      <c r="AU14" s="54"/>
      <c r="AV14" s="54"/>
      <c r="AW14" s="54"/>
      <c r="AX14" s="54"/>
      <c r="AY14" s="54"/>
      <c r="AZ14" s="54"/>
      <c r="BA14" s="54"/>
      <c r="BB14" s="54"/>
    </row>
    <row r="15" spans="1:54" ht="16.5" thickTop="1">
      <c r="A15" s="452"/>
      <c r="B15" s="453"/>
      <c r="C15" s="428"/>
      <c r="D15" s="429"/>
      <c r="E15" s="428"/>
      <c r="F15" s="430"/>
      <c r="G15" s="431"/>
      <c r="H15" s="428"/>
      <c r="I15" s="428"/>
      <c r="J15" s="428"/>
      <c r="K15" s="428"/>
      <c r="L15" s="430"/>
      <c r="M15" s="428"/>
      <c r="N15" s="65"/>
      <c r="AM15" s="52">
        <f>AM23</f>
        <v>1271011.9635</v>
      </c>
      <c r="AR15" s="52">
        <f aca="true" t="shared" si="0" ref="AR15:AR45">SUM(W15:AQ15)</f>
        <v>1271011.9635</v>
      </c>
      <c r="AT15" s="54"/>
      <c r="AU15" s="54"/>
      <c r="AV15" s="54"/>
      <c r="AW15" s="54"/>
      <c r="AX15" s="54"/>
      <c r="AY15" s="54"/>
      <c r="AZ15" s="54"/>
      <c r="BA15" s="54"/>
      <c r="BB15" s="54"/>
    </row>
    <row r="16" spans="1:54" ht="15.75" hidden="1">
      <c r="A16" s="452" t="s">
        <v>227</v>
      </c>
      <c r="B16" s="453"/>
      <c r="C16" s="428">
        <v>0</v>
      </c>
      <c r="D16" s="429">
        <f>+'ACC-DMSB'!J8</f>
        <v>-112194543</v>
      </c>
      <c r="E16" s="428"/>
      <c r="F16" s="430">
        <v>0</v>
      </c>
      <c r="G16" s="431"/>
      <c r="H16" s="428">
        <v>0</v>
      </c>
      <c r="I16" s="428">
        <v>0</v>
      </c>
      <c r="J16" s="428">
        <f>+C16+D16+E16+H16+I16</f>
        <v>-112194543</v>
      </c>
      <c r="K16" s="428">
        <f>AR16</f>
        <v>0</v>
      </c>
      <c r="L16" s="430">
        <f>SUM(J16:K16)</f>
        <v>-112194543</v>
      </c>
      <c r="M16" s="428">
        <v>-246534337</v>
      </c>
      <c r="N16" s="65"/>
      <c r="O16" s="52">
        <f>+ROUND(L16/1000,0)</f>
        <v>-112195</v>
      </c>
      <c r="P16" s="52">
        <f>+ROUND(M16/1000,0)</f>
        <v>-246534</v>
      </c>
      <c r="AR16" s="52">
        <f t="shared" si="0"/>
        <v>0</v>
      </c>
      <c r="AT16" s="54"/>
      <c r="AU16" s="54"/>
      <c r="AV16" s="54"/>
      <c r="AW16" s="54"/>
      <c r="AX16" s="54"/>
      <c r="AY16" s="54"/>
      <c r="AZ16" s="54"/>
      <c r="BA16" s="54"/>
      <c r="BB16" s="54"/>
    </row>
    <row r="17" spans="1:54" ht="15.75" hidden="1">
      <c r="A17" s="452"/>
      <c r="B17" s="453"/>
      <c r="C17" s="428"/>
      <c r="D17" s="429"/>
      <c r="E17" s="428"/>
      <c r="F17" s="430"/>
      <c r="G17" s="458"/>
      <c r="H17" s="428"/>
      <c r="I17" s="428"/>
      <c r="J17" s="428"/>
      <c r="K17" s="428"/>
      <c r="L17" s="430"/>
      <c r="M17" s="428"/>
      <c r="N17" s="65"/>
      <c r="O17" s="76"/>
      <c r="P17" s="76"/>
      <c r="Q17" s="75"/>
      <c r="R17" s="75"/>
      <c r="S17" s="75"/>
      <c r="T17" s="75"/>
      <c r="U17" s="75"/>
      <c r="V17" s="75"/>
      <c r="AR17" s="52">
        <f t="shared" si="0"/>
        <v>0</v>
      </c>
      <c r="AT17" s="54"/>
      <c r="AU17" s="54"/>
      <c r="AV17" s="54"/>
      <c r="AW17" s="54"/>
      <c r="AX17" s="54"/>
      <c r="AY17" s="54"/>
      <c r="AZ17" s="54"/>
      <c r="BA17" s="54"/>
      <c r="BB17" s="54"/>
    </row>
    <row r="18" spans="1:54" ht="16.5" hidden="1" thickBot="1">
      <c r="A18" s="452" t="s">
        <v>228</v>
      </c>
      <c r="B18" s="453"/>
      <c r="C18" s="459">
        <f aca="true" t="shared" si="1" ref="C18:J18">SUM(C14:C17)</f>
        <v>0</v>
      </c>
      <c r="D18" s="460">
        <f>SUM(D14:D17)</f>
        <v>3831448</v>
      </c>
      <c r="E18" s="459">
        <f t="shared" si="1"/>
        <v>0</v>
      </c>
      <c r="F18" s="461">
        <f t="shared" si="1"/>
        <v>687591</v>
      </c>
      <c r="G18" s="462"/>
      <c r="H18" s="459">
        <f t="shared" si="1"/>
        <v>1271011.9635</v>
      </c>
      <c r="I18" s="459">
        <f t="shared" si="1"/>
        <v>0</v>
      </c>
      <c r="J18" s="459">
        <f t="shared" si="1"/>
        <v>5102459.963499993</v>
      </c>
      <c r="K18" s="463"/>
      <c r="L18" s="461">
        <f>SUM(L14:L17)</f>
        <v>3831448</v>
      </c>
      <c r="M18" s="459">
        <f>SUM(M14:M17)</f>
        <v>208752117</v>
      </c>
      <c r="N18" s="77"/>
      <c r="O18" s="79">
        <f>+ROUND(L18/1000,0)</f>
        <v>3831</v>
      </c>
      <c r="P18" s="79">
        <f>+ROUND(M18/1000,0)</f>
        <v>208752</v>
      </c>
      <c r="Q18" s="75"/>
      <c r="R18" s="75"/>
      <c r="S18" s="75"/>
      <c r="T18" s="75"/>
      <c r="U18" s="75"/>
      <c r="V18" s="75"/>
      <c r="AR18" s="52">
        <f t="shared" si="0"/>
        <v>0</v>
      </c>
      <c r="AT18" s="54"/>
      <c r="AU18" s="54"/>
      <c r="AV18" s="54"/>
      <c r="AW18" s="54"/>
      <c r="AX18" s="54"/>
      <c r="AY18" s="54"/>
      <c r="AZ18" s="54"/>
      <c r="BA18" s="54"/>
      <c r="BB18" s="54"/>
    </row>
    <row r="19" spans="1:54" ht="15.75" hidden="1">
      <c r="A19" s="452"/>
      <c r="B19" s="453"/>
      <c r="C19" s="428"/>
      <c r="D19" s="429"/>
      <c r="E19" s="428"/>
      <c r="F19" s="430"/>
      <c r="G19" s="431"/>
      <c r="H19" s="428"/>
      <c r="I19" s="428"/>
      <c r="J19" s="463"/>
      <c r="K19" s="463"/>
      <c r="L19" s="464"/>
      <c r="M19" s="463"/>
      <c r="N19" s="75"/>
      <c r="AR19" s="52">
        <f t="shared" si="0"/>
        <v>0</v>
      </c>
      <c r="AT19" s="54"/>
      <c r="AU19" s="54"/>
      <c r="AV19" s="54"/>
      <c r="AW19" s="54"/>
      <c r="AX19" s="54"/>
      <c r="AY19" s="54"/>
      <c r="AZ19" s="54"/>
      <c r="BA19" s="54"/>
      <c r="BB19" s="54"/>
    </row>
    <row r="20" spans="1:54" ht="16.5" hidden="1">
      <c r="A20" s="465" t="s">
        <v>436</v>
      </c>
      <c r="B20" s="453"/>
      <c r="C20" s="466">
        <v>0</v>
      </c>
      <c r="D20" s="291">
        <f>+'ACC-DMSB'!J12</f>
        <v>1613999.6600000001</v>
      </c>
      <c r="E20" s="466"/>
      <c r="F20" s="467">
        <v>92694.63</v>
      </c>
      <c r="G20" s="468"/>
      <c r="H20" s="466">
        <f>+F20*G14</f>
        <v>171346.02355500002</v>
      </c>
      <c r="I20" s="466">
        <v>0</v>
      </c>
      <c r="J20" s="469">
        <f>+I20+H20+D20+C20</f>
        <v>1785345.6835550002</v>
      </c>
      <c r="K20" s="469"/>
      <c r="L20" s="470">
        <f>+J20</f>
        <v>1785345.6835550002</v>
      </c>
      <c r="M20" s="469">
        <v>-6012420</v>
      </c>
      <c r="N20" s="75"/>
      <c r="AT20" s="54"/>
      <c r="AU20" s="54"/>
      <c r="AV20" s="54"/>
      <c r="AW20" s="54"/>
      <c r="AX20" s="54"/>
      <c r="AY20" s="54"/>
      <c r="AZ20" s="54"/>
      <c r="BA20" s="54"/>
      <c r="BB20" s="54"/>
    </row>
    <row r="21" spans="1:54" ht="16.5" hidden="1">
      <c r="A21" s="465" t="s">
        <v>437</v>
      </c>
      <c r="B21" s="453"/>
      <c r="C21" s="466">
        <v>18727.59</v>
      </c>
      <c r="D21" s="291">
        <f>+'ACC-DMSB'!J13-X23</f>
        <v>603597.68</v>
      </c>
      <c r="E21" s="466"/>
      <c r="F21" s="467">
        <v>0</v>
      </c>
      <c r="G21" s="468"/>
      <c r="H21" s="466">
        <f>+AK23</f>
        <v>125</v>
      </c>
      <c r="I21" s="466">
        <v>0</v>
      </c>
      <c r="J21" s="469">
        <f>+I21+H21+D21+C21</f>
        <v>622450.27</v>
      </c>
      <c r="K21" s="469"/>
      <c r="L21" s="470">
        <f>+J21</f>
        <v>622450.27</v>
      </c>
      <c r="M21" s="469">
        <v>-2910</v>
      </c>
      <c r="N21" s="75"/>
      <c r="AT21" s="54"/>
      <c r="AU21" s="54"/>
      <c r="AV21" s="54"/>
      <c r="AW21" s="54"/>
      <c r="AX21" s="54"/>
      <c r="AY21" s="54"/>
      <c r="AZ21" s="54"/>
      <c r="BA21" s="54"/>
      <c r="BB21" s="54"/>
    </row>
    <row r="22" spans="1:54" ht="15.75">
      <c r="A22" s="452"/>
      <c r="B22" s="453"/>
      <c r="C22" s="463"/>
      <c r="D22" s="429"/>
      <c r="E22" s="428"/>
      <c r="F22" s="430"/>
      <c r="G22" s="431"/>
      <c r="H22" s="428"/>
      <c r="I22" s="428"/>
      <c r="J22" s="463"/>
      <c r="K22" s="463"/>
      <c r="L22" s="464"/>
      <c r="M22" s="463"/>
      <c r="N22" s="75"/>
      <c r="AR22" s="52">
        <f t="shared" si="0"/>
        <v>0</v>
      </c>
      <c r="AT22" s="54"/>
      <c r="AU22" s="54"/>
      <c r="AV22" s="54"/>
      <c r="AW22" s="54"/>
      <c r="AX22" s="54"/>
      <c r="AY22" s="54"/>
      <c r="AZ22" s="54"/>
      <c r="BA22" s="54"/>
      <c r="BB22" s="54"/>
    </row>
    <row r="23" spans="1:54" ht="15.75">
      <c r="A23" s="452" t="s">
        <v>229</v>
      </c>
      <c r="B23" s="453"/>
      <c r="C23" s="428">
        <v>-283970</v>
      </c>
      <c r="D23" s="429">
        <f>+'ACC-DMSB'!J15</f>
        <v>8330691</v>
      </c>
      <c r="E23" s="428"/>
      <c r="F23" s="430">
        <v>594896</v>
      </c>
      <c r="G23" s="431">
        <f>+G14</f>
        <v>1.8485</v>
      </c>
      <c r="H23" s="428">
        <f>(F23*G23)</f>
        <v>1099665.256</v>
      </c>
      <c r="I23" s="428">
        <v>-136244</v>
      </c>
      <c r="J23" s="428">
        <f>+C23+D23+E23+H23+I23</f>
        <v>9010142.256000001</v>
      </c>
      <c r="K23" s="428">
        <f>-AR23</f>
        <v>-1135985.9235</v>
      </c>
      <c r="L23" s="430">
        <f>SUM(J23:K23)</f>
        <v>7874156.332500001</v>
      </c>
      <c r="M23" s="428">
        <v>28075189</v>
      </c>
      <c r="N23" s="65"/>
      <c r="O23" s="52">
        <f>+ROUND(L23/1000,0)</f>
        <v>7874</v>
      </c>
      <c r="P23" s="52">
        <f>+ROUND(M23/1000,0)</f>
        <v>28075</v>
      </c>
      <c r="X23" s="52">
        <f>-DMSB!D39</f>
        <v>-135151.04</v>
      </c>
      <c r="Z23" s="52">
        <f>+Z14</f>
        <v>0</v>
      </c>
      <c r="AD23" s="52">
        <v>0</v>
      </c>
      <c r="AE23" s="52">
        <v>0</v>
      </c>
      <c r="AG23" s="52">
        <f>+AG14</f>
        <v>0</v>
      </c>
      <c r="AK23" s="52">
        <f>+'AS'!C23</f>
        <v>125</v>
      </c>
      <c r="AM23" s="52">
        <f>-CMC!D40</f>
        <v>1271011.9635</v>
      </c>
      <c r="AN23" s="52">
        <v>0</v>
      </c>
      <c r="AR23" s="52">
        <f t="shared" si="0"/>
        <v>1135985.9235</v>
      </c>
      <c r="AT23" s="54"/>
      <c r="AU23" s="54"/>
      <c r="AV23" s="54"/>
      <c r="AW23" s="54"/>
      <c r="AX23" s="54"/>
      <c r="AY23" s="54"/>
      <c r="AZ23" s="54"/>
      <c r="BA23" s="54"/>
      <c r="BB23" s="54"/>
    </row>
    <row r="24" spans="1:54" ht="15.75">
      <c r="A24" s="452" t="s">
        <v>230</v>
      </c>
      <c r="B24" s="453"/>
      <c r="C24" s="428"/>
      <c r="D24" s="429"/>
      <c r="E24" s="428"/>
      <c r="F24" s="430"/>
      <c r="G24" s="431"/>
      <c r="H24" s="428"/>
      <c r="I24" s="428"/>
      <c r="J24" s="428"/>
      <c r="K24" s="428"/>
      <c r="L24" s="430"/>
      <c r="M24" s="428"/>
      <c r="N24" s="65"/>
      <c r="AT24" s="54"/>
      <c r="AU24" s="54"/>
      <c r="AV24" s="54"/>
      <c r="AW24" s="54"/>
      <c r="AX24" s="54"/>
      <c r="AY24" s="54"/>
      <c r="AZ24" s="54"/>
      <c r="BA24" s="54"/>
      <c r="BB24" s="54"/>
    </row>
    <row r="25" spans="1:54" ht="15.75">
      <c r="A25" s="471" t="s">
        <v>601</v>
      </c>
      <c r="B25" s="453"/>
      <c r="C25" s="428">
        <v>0</v>
      </c>
      <c r="D25" s="429">
        <v>0</v>
      </c>
      <c r="E25" s="428"/>
      <c r="F25" s="430">
        <v>0</v>
      </c>
      <c r="G25" s="431"/>
      <c r="H25" s="428">
        <v>0</v>
      </c>
      <c r="I25" s="428">
        <v>0</v>
      </c>
      <c r="J25" s="430">
        <v>0</v>
      </c>
      <c r="K25" s="428">
        <f>+AR25</f>
        <v>-143032.87361999997</v>
      </c>
      <c r="L25" s="429">
        <f>SUM(J25:K25)</f>
        <v>-143032.87361999997</v>
      </c>
      <c r="M25" s="428">
        <v>747839</v>
      </c>
      <c r="N25" s="65"/>
      <c r="AF25" s="52">
        <f>+MBMI!E130</f>
        <v>-143032.87361999997</v>
      </c>
      <c r="AR25" s="52">
        <f t="shared" si="0"/>
        <v>-143032.87361999997</v>
      </c>
      <c r="AT25" s="54"/>
      <c r="AU25" s="54"/>
      <c r="AV25" s="54"/>
      <c r="AW25" s="54"/>
      <c r="AX25" s="54"/>
      <c r="AY25" s="54"/>
      <c r="AZ25" s="54"/>
      <c r="BA25" s="54"/>
      <c r="BB25" s="54"/>
    </row>
    <row r="26" spans="1:54" ht="15.75">
      <c r="A26" s="471" t="s">
        <v>602</v>
      </c>
      <c r="B26" s="453"/>
      <c r="C26" s="472">
        <v>0</v>
      </c>
      <c r="D26" s="473">
        <v>0</v>
      </c>
      <c r="E26" s="472">
        <v>0</v>
      </c>
      <c r="F26" s="474">
        <v>0</v>
      </c>
      <c r="G26" s="475"/>
      <c r="H26" s="472">
        <v>0</v>
      </c>
      <c r="I26" s="472">
        <v>0</v>
      </c>
      <c r="J26" s="472">
        <f>SUM(C26:I26)-SUM(F26:G26)</f>
        <v>0</v>
      </c>
      <c r="K26" s="472">
        <f>+AR26</f>
        <v>1135732.26375</v>
      </c>
      <c r="L26" s="474">
        <f>SUM(J26:K26)</f>
        <v>1135732.26375</v>
      </c>
      <c r="M26" s="472">
        <v>4695414</v>
      </c>
      <c r="N26" s="81"/>
      <c r="O26" s="76">
        <f>+ROUND(L26/1000,0)</f>
        <v>1136</v>
      </c>
      <c r="P26" s="76">
        <f>+ROUND(M26/1000,0)</f>
        <v>4695</v>
      </c>
      <c r="Q26" s="75"/>
      <c r="R26" s="75"/>
      <c r="S26" s="75"/>
      <c r="T26" s="75"/>
      <c r="U26" s="75"/>
      <c r="V26" s="75"/>
      <c r="AF26" s="54"/>
      <c r="AL26" s="52">
        <f>+CMC!D38</f>
        <v>1135732.26375</v>
      </c>
      <c r="AR26" s="52">
        <f t="shared" si="0"/>
        <v>1135732.26375</v>
      </c>
      <c r="AT26" s="54"/>
      <c r="AU26" s="54"/>
      <c r="AV26" s="54"/>
      <c r="AW26" s="54"/>
      <c r="AX26" s="54"/>
      <c r="AY26" s="54"/>
      <c r="AZ26" s="54"/>
      <c r="BA26" s="54"/>
      <c r="BB26" s="54"/>
    </row>
    <row r="27" spans="1:54" ht="6" customHeight="1">
      <c r="A27" s="452"/>
      <c r="B27" s="453"/>
      <c r="C27" s="428"/>
      <c r="D27" s="429"/>
      <c r="E27" s="428"/>
      <c r="F27" s="430"/>
      <c r="G27" s="431"/>
      <c r="H27" s="428"/>
      <c r="I27" s="428"/>
      <c r="J27" s="428"/>
      <c r="K27" s="428"/>
      <c r="L27" s="430"/>
      <c r="M27" s="428"/>
      <c r="N27" s="65"/>
      <c r="AR27" s="52">
        <f t="shared" si="0"/>
        <v>0</v>
      </c>
      <c r="AT27" s="54"/>
      <c r="AU27" s="54"/>
      <c r="AV27" s="54"/>
      <c r="AW27" s="54"/>
      <c r="AX27" s="54"/>
      <c r="AY27" s="54"/>
      <c r="AZ27" s="54"/>
      <c r="BA27" s="54"/>
      <c r="BB27" s="54"/>
    </row>
    <row r="28" spans="1:54" ht="15.75">
      <c r="A28" s="471"/>
      <c r="B28" s="476"/>
      <c r="C28" s="428">
        <f>SUM(C23:C26)</f>
        <v>-283970</v>
      </c>
      <c r="D28" s="429">
        <f>SUM(D23:D26)</f>
        <v>8330691</v>
      </c>
      <c r="E28" s="428">
        <f>SUM(E23:E26)</f>
        <v>0</v>
      </c>
      <c r="F28" s="430">
        <f>SUM(F23:F26)</f>
        <v>594896</v>
      </c>
      <c r="G28" s="431"/>
      <c r="H28" s="428">
        <f aca="true" t="shared" si="2" ref="H28:M28">SUM(H23:H26)</f>
        <v>1099665.256</v>
      </c>
      <c r="I28" s="428">
        <f t="shared" si="2"/>
        <v>-136244</v>
      </c>
      <c r="J28" s="428">
        <f t="shared" si="2"/>
        <v>9010142.256000001</v>
      </c>
      <c r="K28" s="428">
        <f t="shared" si="2"/>
        <v>-143286.53337000008</v>
      </c>
      <c r="L28" s="430">
        <f t="shared" si="2"/>
        <v>8866855.722630002</v>
      </c>
      <c r="M28" s="428">
        <f t="shared" si="2"/>
        <v>33518442</v>
      </c>
      <c r="N28" s="65"/>
      <c r="O28" s="52">
        <f>SUM(O23:O27)</f>
        <v>9010</v>
      </c>
      <c r="P28" s="52">
        <f>SUM(P23:P27)</f>
        <v>32770</v>
      </c>
      <c r="AR28" s="52">
        <f t="shared" si="0"/>
        <v>0</v>
      </c>
      <c r="AT28" s="54"/>
      <c r="AU28" s="54"/>
      <c r="AV28" s="54"/>
      <c r="AW28" s="54"/>
      <c r="AX28" s="54"/>
      <c r="AY28" s="54"/>
      <c r="AZ28" s="54"/>
      <c r="BA28" s="54"/>
      <c r="BB28" s="54"/>
    </row>
    <row r="29" spans="1:54" ht="15.75">
      <c r="A29" s="452" t="s">
        <v>231</v>
      </c>
      <c r="B29" s="476"/>
      <c r="C29" s="428"/>
      <c r="D29" s="429"/>
      <c r="E29" s="428"/>
      <c r="F29" s="430"/>
      <c r="G29" s="431"/>
      <c r="H29" s="428"/>
      <c r="I29" s="428"/>
      <c r="J29" s="428"/>
      <c r="K29" s="428"/>
      <c r="L29" s="430"/>
      <c r="M29" s="428"/>
      <c r="N29" s="65"/>
      <c r="AR29" s="52">
        <f t="shared" si="0"/>
        <v>0</v>
      </c>
      <c r="AT29" s="54"/>
      <c r="AU29" s="54"/>
      <c r="AV29" s="54"/>
      <c r="AW29" s="54"/>
      <c r="AX29" s="54"/>
      <c r="AY29" s="54"/>
      <c r="AZ29" s="54"/>
      <c r="BA29" s="54"/>
      <c r="BB29" s="54"/>
    </row>
    <row r="30" spans="1:54" ht="15.75">
      <c r="A30" s="471" t="s">
        <v>601</v>
      </c>
      <c r="B30" s="476"/>
      <c r="C30" s="428">
        <v>0</v>
      </c>
      <c r="D30" s="429">
        <v>0</v>
      </c>
      <c r="E30" s="428"/>
      <c r="F30" s="430">
        <v>0</v>
      </c>
      <c r="G30" s="431"/>
      <c r="H30" s="428"/>
      <c r="I30" s="428">
        <v>0</v>
      </c>
      <c r="J30" s="428">
        <f>SUM(C30:I30)-SUM(F30:G30)</f>
        <v>0</v>
      </c>
      <c r="K30" s="428">
        <f>+AR29</f>
        <v>0</v>
      </c>
      <c r="L30" s="430">
        <f>SUM(J30:K30)</f>
        <v>0</v>
      </c>
      <c r="M30" s="477">
        <v>0</v>
      </c>
      <c r="N30" s="65"/>
      <c r="O30" s="52">
        <f>+ROUND(L30/1000,0)</f>
        <v>0</v>
      </c>
      <c r="P30" s="52">
        <f>+ROUND(M31/1000,0)</f>
        <v>-1627</v>
      </c>
      <c r="AD30" s="52">
        <f>+MBMI!E131</f>
        <v>0</v>
      </c>
      <c r="AL30" s="52">
        <f>+CMC!D39</f>
        <v>-374791.64703750005</v>
      </c>
      <c r="AR30" s="52">
        <f t="shared" si="0"/>
        <v>-374791.64703750005</v>
      </c>
      <c r="AT30" s="54"/>
      <c r="AU30" s="54"/>
      <c r="AV30" s="54"/>
      <c r="AW30" s="54"/>
      <c r="AX30" s="54"/>
      <c r="AY30" s="54"/>
      <c r="AZ30" s="54"/>
      <c r="BA30" s="54"/>
      <c r="BB30" s="54"/>
    </row>
    <row r="31" spans="1:54" ht="15.75">
      <c r="A31" s="471" t="s">
        <v>602</v>
      </c>
      <c r="B31" s="476"/>
      <c r="C31" s="428"/>
      <c r="D31" s="429"/>
      <c r="E31" s="428"/>
      <c r="F31" s="430"/>
      <c r="G31" s="431"/>
      <c r="H31" s="428"/>
      <c r="I31" s="428"/>
      <c r="J31" s="428"/>
      <c r="K31" s="428">
        <f>+AR30</f>
        <v>-374791.64703750005</v>
      </c>
      <c r="L31" s="430">
        <f>SUM(J31:K31)</f>
        <v>-374791.64703750005</v>
      </c>
      <c r="M31" s="428">
        <v>-1627125</v>
      </c>
      <c r="N31" s="65"/>
      <c r="AT31" s="54"/>
      <c r="AU31" s="54"/>
      <c r="AV31" s="54"/>
      <c r="AW31" s="54"/>
      <c r="AX31" s="54"/>
      <c r="AY31" s="54"/>
      <c r="AZ31" s="54"/>
      <c r="BA31" s="54"/>
      <c r="BB31" s="54"/>
    </row>
    <row r="32" spans="1:54" ht="6" customHeight="1">
      <c r="A32" s="452"/>
      <c r="B32" s="476"/>
      <c r="C32" s="428"/>
      <c r="D32" s="429"/>
      <c r="E32" s="428"/>
      <c r="F32" s="430"/>
      <c r="G32" s="431"/>
      <c r="H32" s="428"/>
      <c r="I32" s="428"/>
      <c r="J32" s="428"/>
      <c r="K32" s="428"/>
      <c r="L32" s="430"/>
      <c r="M32" s="428"/>
      <c r="N32" s="65"/>
      <c r="AT32" s="54"/>
      <c r="AU32" s="54"/>
      <c r="AV32" s="54"/>
      <c r="AW32" s="54"/>
      <c r="AX32" s="54"/>
      <c r="AY32" s="54"/>
      <c r="AZ32" s="54"/>
      <c r="BA32" s="54"/>
      <c r="BB32" s="54"/>
    </row>
    <row r="33" spans="1:54" ht="15.75">
      <c r="A33" s="452" t="s">
        <v>21</v>
      </c>
      <c r="B33" s="453">
        <v>10</v>
      </c>
      <c r="C33" s="472">
        <v>0</v>
      </c>
      <c r="D33" s="473">
        <f>+'ACC-DMSB'!J19</f>
        <v>-2401891</v>
      </c>
      <c r="E33" s="472">
        <f>-'[3]Notes'!D80</f>
        <v>0</v>
      </c>
      <c r="F33" s="474">
        <f>+'[3]Notes'!E80</f>
        <v>0</v>
      </c>
      <c r="G33" s="475"/>
      <c r="H33" s="472">
        <f>+'[3]Notes'!G80</f>
        <v>0</v>
      </c>
      <c r="I33" s="472">
        <f>+'[3]Notes'!H80</f>
        <v>0</v>
      </c>
      <c r="J33" s="472">
        <f>+C33+D33+E33+H33+I33</f>
        <v>-2401891</v>
      </c>
      <c r="K33" s="472">
        <f>-AR33</f>
        <v>0</v>
      </c>
      <c r="L33" s="474">
        <f>SUM(J33:K33)</f>
        <v>-2401891</v>
      </c>
      <c r="M33" s="472">
        <v>0</v>
      </c>
      <c r="N33" s="81"/>
      <c r="O33" s="76">
        <f>+ROUND(L33/1000,0)</f>
        <v>-2402</v>
      </c>
      <c r="P33" s="76">
        <f>+ROUND(M33/1000,0)</f>
        <v>0</v>
      </c>
      <c r="Q33" s="75"/>
      <c r="R33" s="75"/>
      <c r="S33" s="75"/>
      <c r="T33" s="75"/>
      <c r="U33" s="75"/>
      <c r="V33" s="75"/>
      <c r="AR33" s="52">
        <f t="shared" si="0"/>
        <v>0</v>
      </c>
      <c r="AT33" s="54"/>
      <c r="AU33" s="54"/>
      <c r="AV33" s="54"/>
      <c r="AW33" s="54"/>
      <c r="AX33" s="54"/>
      <c r="AY33" s="54"/>
      <c r="AZ33" s="54"/>
      <c r="BA33" s="54"/>
      <c r="BB33" s="54"/>
    </row>
    <row r="34" spans="1:54" ht="6" customHeight="1">
      <c r="A34" s="452"/>
      <c r="B34" s="453"/>
      <c r="C34" s="428"/>
      <c r="D34" s="429"/>
      <c r="E34" s="428"/>
      <c r="F34" s="430"/>
      <c r="G34" s="431"/>
      <c r="H34" s="428"/>
      <c r="I34" s="428"/>
      <c r="J34" s="428"/>
      <c r="K34" s="428"/>
      <c r="L34" s="430"/>
      <c r="M34" s="428"/>
      <c r="N34" s="65"/>
      <c r="AR34" s="52">
        <f t="shared" si="0"/>
        <v>0</v>
      </c>
      <c r="AT34" s="54"/>
      <c r="AU34" s="54"/>
      <c r="AV34" s="54"/>
      <c r="AW34" s="54"/>
      <c r="AX34" s="54"/>
      <c r="AY34" s="54"/>
      <c r="AZ34" s="54"/>
      <c r="BA34" s="54"/>
      <c r="BB34" s="54"/>
    </row>
    <row r="35" spans="1:54" ht="15.75">
      <c r="A35" s="452" t="s">
        <v>232</v>
      </c>
      <c r="B35" s="453"/>
      <c r="C35" s="428">
        <f>C28+C33</f>
        <v>-283970</v>
      </c>
      <c r="D35" s="429">
        <f aca="true" t="shared" si="3" ref="D35:I35">D28+D33</f>
        <v>5928800</v>
      </c>
      <c r="E35" s="428">
        <f t="shared" si="3"/>
        <v>0</v>
      </c>
      <c r="F35" s="430">
        <f t="shared" si="3"/>
        <v>594896</v>
      </c>
      <c r="G35" s="431">
        <f t="shared" si="3"/>
        <v>0</v>
      </c>
      <c r="H35" s="428">
        <f t="shared" si="3"/>
        <v>1099665.256</v>
      </c>
      <c r="I35" s="428">
        <f t="shared" si="3"/>
        <v>-136244</v>
      </c>
      <c r="J35" s="428">
        <f>+J28+J33</f>
        <v>6608251.256000001</v>
      </c>
      <c r="K35" s="428">
        <f>SUM(K28:K33)</f>
        <v>-518078.1804075001</v>
      </c>
      <c r="L35" s="430">
        <f>SUM(L28:L33)</f>
        <v>6090173.075592501</v>
      </c>
      <c r="M35" s="428">
        <f>SUM(M28:M33)</f>
        <v>31891317</v>
      </c>
      <c r="N35" s="65"/>
      <c r="O35" s="52">
        <f>SUM(O28:O34)</f>
        <v>6608</v>
      </c>
      <c r="P35" s="52">
        <f>SUM(P28:P34)</f>
        <v>31143</v>
      </c>
      <c r="AR35" s="52">
        <f t="shared" si="0"/>
        <v>0</v>
      </c>
      <c r="AT35" s="54"/>
      <c r="AU35" s="54"/>
      <c r="AV35" s="54"/>
      <c r="AW35" s="54"/>
      <c r="AX35" s="54"/>
      <c r="AY35" s="54"/>
      <c r="AZ35" s="54"/>
      <c r="BA35" s="54"/>
      <c r="BB35" s="54"/>
    </row>
    <row r="36" spans="1:54" ht="15.75">
      <c r="A36" s="452"/>
      <c r="B36" s="453"/>
      <c r="C36" s="428"/>
      <c r="D36" s="429"/>
      <c r="E36" s="428"/>
      <c r="F36" s="430"/>
      <c r="G36" s="431"/>
      <c r="H36" s="428"/>
      <c r="I36" s="428"/>
      <c r="J36" s="428"/>
      <c r="K36" s="428"/>
      <c r="L36" s="430"/>
      <c r="M36" s="428"/>
      <c r="N36" s="65"/>
      <c r="AR36" s="52">
        <f t="shared" si="0"/>
        <v>0</v>
      </c>
      <c r="AT36" s="54"/>
      <c r="AU36" s="54"/>
      <c r="AV36" s="54"/>
      <c r="AW36" s="54"/>
      <c r="AX36" s="54"/>
      <c r="AY36" s="54"/>
      <c r="AZ36" s="54"/>
      <c r="BA36" s="54"/>
      <c r="BB36" s="54"/>
    </row>
    <row r="37" spans="1:54" ht="15.75">
      <c r="A37" s="452" t="s">
        <v>233</v>
      </c>
      <c r="B37" s="453"/>
      <c r="C37" s="472" t="s">
        <v>6</v>
      </c>
      <c r="D37" s="473">
        <v>0</v>
      </c>
      <c r="E37" s="472">
        <v>0</v>
      </c>
      <c r="F37" s="474">
        <v>0</v>
      </c>
      <c r="G37" s="475"/>
      <c r="H37" s="472">
        <v>0</v>
      </c>
      <c r="I37" s="472">
        <v>0</v>
      </c>
      <c r="J37" s="472">
        <f>SUM(C37:I37)-SUM(F37:G37)</f>
        <v>0</v>
      </c>
      <c r="K37" s="472">
        <f>-0.285*D35</f>
        <v>-1689707.9999999998</v>
      </c>
      <c r="L37" s="474">
        <f>SUM(J37:K37)</f>
        <v>-1689707.9999999998</v>
      </c>
      <c r="M37" s="472">
        <v>-8384226</v>
      </c>
      <c r="N37" s="81"/>
      <c r="O37" s="76">
        <f>+ROUND(L37/1000,0)</f>
        <v>-1690</v>
      </c>
      <c r="P37" s="76">
        <f>+ROUND(M37/1000,0)</f>
        <v>-8384</v>
      </c>
      <c r="Q37" s="75"/>
      <c r="R37" s="75"/>
      <c r="S37" s="75"/>
      <c r="T37" s="75"/>
      <c r="U37" s="75"/>
      <c r="V37" s="75"/>
      <c r="Y37" s="52">
        <f>+DMSB!C45</f>
        <v>1689707.9999999998</v>
      </c>
      <c r="AF37" s="52">
        <f>-'[3]MBMI'!E54</f>
        <v>0</v>
      </c>
      <c r="AR37" s="52">
        <f t="shared" si="0"/>
        <v>1689707.9999999998</v>
      </c>
      <c r="AT37" s="54"/>
      <c r="AU37" s="54"/>
      <c r="AV37" s="54"/>
      <c r="AW37" s="54"/>
      <c r="AX37" s="54"/>
      <c r="AY37" s="54"/>
      <c r="AZ37" s="54"/>
      <c r="BA37" s="54"/>
      <c r="BB37" s="54"/>
    </row>
    <row r="38" spans="1:54" ht="15.75">
      <c r="A38" s="452"/>
      <c r="B38" s="453"/>
      <c r="C38" s="428"/>
      <c r="D38" s="429"/>
      <c r="E38" s="428"/>
      <c r="F38" s="430"/>
      <c r="G38" s="431"/>
      <c r="H38" s="428"/>
      <c r="I38" s="428"/>
      <c r="J38" s="428"/>
      <c r="K38" s="428"/>
      <c r="L38" s="430"/>
      <c r="M38" s="428"/>
      <c r="N38" s="65"/>
      <c r="AR38" s="52">
        <f t="shared" si="0"/>
        <v>0</v>
      </c>
      <c r="AT38" s="54"/>
      <c r="AU38" s="54"/>
      <c r="AV38" s="54"/>
      <c r="AW38" s="54"/>
      <c r="AX38" s="54"/>
      <c r="AY38" s="54"/>
      <c r="AZ38" s="54"/>
      <c r="BA38" s="54"/>
      <c r="BB38" s="54"/>
    </row>
    <row r="39" spans="1:54" ht="15.75">
      <c r="A39" s="452" t="s">
        <v>234</v>
      </c>
      <c r="B39" s="453"/>
      <c r="C39" s="428">
        <f>SUM(C35:C38)</f>
        <v>-283970</v>
      </c>
      <c r="D39" s="429">
        <f aca="true" t="shared" si="4" ref="D39:L39">SUM(D35:D38)</f>
        <v>5928800</v>
      </c>
      <c r="E39" s="428">
        <f t="shared" si="4"/>
        <v>0</v>
      </c>
      <c r="F39" s="430">
        <f t="shared" si="4"/>
        <v>594896</v>
      </c>
      <c r="G39" s="431">
        <f t="shared" si="4"/>
        <v>0</v>
      </c>
      <c r="H39" s="428">
        <f t="shared" si="4"/>
        <v>1099665.256</v>
      </c>
      <c r="I39" s="428">
        <f t="shared" si="4"/>
        <v>-136244</v>
      </c>
      <c r="J39" s="428">
        <f t="shared" si="4"/>
        <v>6608251.256000001</v>
      </c>
      <c r="K39" s="428">
        <f>SUM(K35:K37)</f>
        <v>-2207786.1804075</v>
      </c>
      <c r="L39" s="430">
        <f t="shared" si="4"/>
        <v>4400465.075592501</v>
      </c>
      <c r="M39" s="428">
        <f>SUM(M35:M37)</f>
        <v>23507091</v>
      </c>
      <c r="N39" s="65"/>
      <c r="O39" s="52">
        <f>SUM(O35:O38)</f>
        <v>4918</v>
      </c>
      <c r="P39" s="52">
        <f>SUM(P35:P38)</f>
        <v>22759</v>
      </c>
      <c r="AR39" s="52">
        <f t="shared" si="0"/>
        <v>0</v>
      </c>
      <c r="AT39" s="54"/>
      <c r="AU39" s="54"/>
      <c r="AV39" s="54"/>
      <c r="AW39" s="54"/>
      <c r="AX39" s="54"/>
      <c r="AY39" s="54"/>
      <c r="AZ39" s="54"/>
      <c r="BA39" s="54"/>
      <c r="BB39" s="54"/>
    </row>
    <row r="40" spans="1:54" ht="15.75">
      <c r="A40" s="452"/>
      <c r="B40" s="453"/>
      <c r="C40" s="428"/>
      <c r="D40" s="429"/>
      <c r="E40" s="428"/>
      <c r="F40" s="430"/>
      <c r="G40" s="431"/>
      <c r="H40" s="428"/>
      <c r="I40" s="428"/>
      <c r="J40" s="428"/>
      <c r="K40" s="428"/>
      <c r="L40" s="430"/>
      <c r="M40" s="428"/>
      <c r="N40" s="65"/>
      <c r="AR40" s="52">
        <f t="shared" si="0"/>
        <v>0</v>
      </c>
      <c r="AT40" s="54"/>
      <c r="AU40" s="54"/>
      <c r="AV40" s="54"/>
      <c r="AW40" s="54"/>
      <c r="AX40" s="54"/>
      <c r="AY40" s="54"/>
      <c r="AZ40" s="54"/>
      <c r="BA40" s="54"/>
      <c r="BB40" s="54"/>
    </row>
    <row r="41" spans="1:54" ht="15.75">
      <c r="A41" s="452" t="s">
        <v>235</v>
      </c>
      <c r="B41" s="453"/>
      <c r="C41" s="472">
        <v>17837201</v>
      </c>
      <c r="D41" s="473">
        <f>+'ACC-DMSB'!J23</f>
        <v>125959238</v>
      </c>
      <c r="E41" s="472">
        <v>0</v>
      </c>
      <c r="F41" s="474">
        <v>-539662</v>
      </c>
      <c r="G41" s="475"/>
      <c r="H41" s="472">
        <v>-997565</v>
      </c>
      <c r="I41" s="472">
        <v>2557876</v>
      </c>
      <c r="J41" s="472">
        <f>+C41+D41+H41+I41+2</f>
        <v>145356752</v>
      </c>
      <c r="K41" s="472">
        <f>-AR41+606110-51579</f>
        <v>-87798226.09</v>
      </c>
      <c r="L41" s="474">
        <f>SUM(J41:K41)</f>
        <v>57558525.91</v>
      </c>
      <c r="M41" s="472">
        <v>38641435</v>
      </c>
      <c r="N41" s="81"/>
      <c r="O41" s="76">
        <f>+ROUND(L41/1000,0)</f>
        <v>57559</v>
      </c>
      <c r="P41" s="76">
        <f>+ROUND(M41/1000,0)</f>
        <v>38641</v>
      </c>
      <c r="Q41" s="75"/>
      <c r="R41" s="75"/>
      <c r="S41" s="75"/>
      <c r="T41" s="75"/>
      <c r="U41" s="75"/>
      <c r="V41" s="75"/>
      <c r="W41" s="52">
        <v>75104597</v>
      </c>
      <c r="X41" s="52">
        <f>-DMSB!D38</f>
        <v>-3243624</v>
      </c>
      <c r="Y41" s="52">
        <f>+DMSB!C44</f>
        <v>16490284.09</v>
      </c>
      <c r="Z41" s="83"/>
      <c r="AD41" s="52">
        <v>0</v>
      </c>
      <c r="AK41" s="52">
        <f>+'AS'!C22</f>
        <v>1500</v>
      </c>
      <c r="AR41" s="52">
        <f t="shared" si="0"/>
        <v>88352757.09</v>
      </c>
      <c r="AT41" s="54"/>
      <c r="AU41" s="54"/>
      <c r="AV41" s="54"/>
      <c r="AW41" s="54"/>
      <c r="AX41" s="54"/>
      <c r="AY41" s="54"/>
      <c r="AZ41" s="54"/>
      <c r="BA41" s="54"/>
      <c r="BB41" s="54"/>
    </row>
    <row r="42" spans="1:54" ht="15.75">
      <c r="A42" s="452"/>
      <c r="B42" s="453"/>
      <c r="C42" s="428"/>
      <c r="D42" s="429"/>
      <c r="E42" s="428"/>
      <c r="F42" s="430"/>
      <c r="G42" s="431"/>
      <c r="H42" s="428"/>
      <c r="I42" s="428"/>
      <c r="J42" s="428"/>
      <c r="K42" s="428"/>
      <c r="L42" s="430"/>
      <c r="M42" s="428"/>
      <c r="N42" s="65"/>
      <c r="AR42" s="52">
        <f t="shared" si="0"/>
        <v>0</v>
      </c>
      <c r="AT42" s="54"/>
      <c r="AU42" s="54"/>
      <c r="AV42" s="54"/>
      <c r="AW42" s="54"/>
      <c r="AX42" s="54"/>
      <c r="AY42" s="54"/>
      <c r="AZ42" s="54"/>
      <c r="BA42" s="54"/>
      <c r="BB42" s="54"/>
    </row>
    <row r="43" spans="1:54" ht="15.75">
      <c r="A43" s="452" t="s">
        <v>236</v>
      </c>
      <c r="B43" s="453"/>
      <c r="C43" s="428">
        <f>SUM(C39:C42)</f>
        <v>17553231</v>
      </c>
      <c r="D43" s="429">
        <f>SUM(D39:D42)</f>
        <v>131888038</v>
      </c>
      <c r="E43" s="428">
        <f>SUM(E39:E42)</f>
        <v>0</v>
      </c>
      <c r="F43" s="430">
        <f>SUM(F39:F42)</f>
        <v>55234</v>
      </c>
      <c r="G43" s="431"/>
      <c r="H43" s="428">
        <f>SUM(H39:H42)</f>
        <v>102100.25600000005</v>
      </c>
      <c r="I43" s="428">
        <f>SUM(I39:I42)</f>
        <v>2421632</v>
      </c>
      <c r="J43" s="428">
        <f>+J39+J41</f>
        <v>151965003.256</v>
      </c>
      <c r="K43" s="428">
        <f>SUM(K39:K41)</f>
        <v>-90006012.2704075</v>
      </c>
      <c r="L43" s="430">
        <f>SUM(L39:L41)</f>
        <v>61958990.9855925</v>
      </c>
      <c r="M43" s="428">
        <f>SUM(M39:M41)</f>
        <v>62148526</v>
      </c>
      <c r="N43" s="65"/>
      <c r="O43" s="52">
        <f>SUM(O39:O42)</f>
        <v>62477</v>
      </c>
      <c r="P43" s="52">
        <f>SUM(P39:P42)</f>
        <v>61400</v>
      </c>
      <c r="AR43" s="52">
        <f t="shared" si="0"/>
        <v>0</v>
      </c>
      <c r="AT43" s="54"/>
      <c r="AU43" s="54"/>
      <c r="AV43" s="54"/>
      <c r="AW43" s="54"/>
      <c r="AX43" s="54"/>
      <c r="AY43" s="54"/>
      <c r="AZ43" s="54"/>
      <c r="BA43" s="54"/>
      <c r="BB43" s="54"/>
    </row>
    <row r="44" spans="1:54" ht="15.75">
      <c r="A44" s="452"/>
      <c r="B44" s="453"/>
      <c r="C44" s="428"/>
      <c r="D44" s="429"/>
      <c r="E44" s="428"/>
      <c r="F44" s="430"/>
      <c r="G44" s="431"/>
      <c r="H44" s="428"/>
      <c r="I44" s="428"/>
      <c r="J44" s="428"/>
      <c r="K44" s="428"/>
      <c r="L44" s="430"/>
      <c r="M44" s="428"/>
      <c r="N44" s="65"/>
      <c r="AR44" s="52">
        <f t="shared" si="0"/>
        <v>0</v>
      </c>
      <c r="AT44" s="54"/>
      <c r="AU44" s="54"/>
      <c r="AV44" s="54"/>
      <c r="AW44" s="54"/>
      <c r="AX44" s="54"/>
      <c r="AY44" s="54"/>
      <c r="AZ44" s="54"/>
      <c r="BA44" s="54"/>
      <c r="BB44" s="54"/>
    </row>
    <row r="45" spans="1:54" ht="15.75">
      <c r="A45" s="471" t="s">
        <v>237</v>
      </c>
      <c r="B45" s="476"/>
      <c r="C45" s="428">
        <v>0</v>
      </c>
      <c r="D45" s="429">
        <f>+'ACC-DMSB'!J27</f>
        <v>0</v>
      </c>
      <c r="E45" s="428"/>
      <c r="F45" s="430">
        <v>0</v>
      </c>
      <c r="G45" s="431">
        <v>0</v>
      </c>
      <c r="H45" s="428">
        <f>F45*G45</f>
        <v>0</v>
      </c>
      <c r="I45" s="428">
        <v>0</v>
      </c>
      <c r="J45" s="428">
        <f>SUM(C45:I45)-SUM(F45:G45)</f>
        <v>0</v>
      </c>
      <c r="K45" s="428">
        <f>-AR45</f>
        <v>0</v>
      </c>
      <c r="L45" s="464">
        <f>SUM(J45:K45)</f>
        <v>0</v>
      </c>
      <c r="M45" s="463">
        <v>-4590000</v>
      </c>
      <c r="N45" s="75"/>
      <c r="O45" s="52">
        <f>+ROUND(L45/1000,0)</f>
        <v>0</v>
      </c>
      <c r="P45" s="52">
        <f>+ROUND(M45/1000,0)</f>
        <v>-4590</v>
      </c>
      <c r="Z45" s="52">
        <v>0</v>
      </c>
      <c r="AG45" s="52">
        <f>-'[3]MBMI'!E62</f>
        <v>0</v>
      </c>
      <c r="AN45" s="52">
        <v>0</v>
      </c>
      <c r="AR45" s="52">
        <f t="shared" si="0"/>
        <v>0</v>
      </c>
      <c r="AT45" s="54"/>
      <c r="AU45" s="54"/>
      <c r="AV45" s="54"/>
      <c r="AW45" s="54"/>
      <c r="AX45" s="54"/>
      <c r="AY45" s="54"/>
      <c r="AZ45" s="54"/>
      <c r="BA45" s="54"/>
      <c r="BB45" s="54"/>
    </row>
    <row r="46" spans="1:54" ht="15.75">
      <c r="A46" s="471"/>
      <c r="B46" s="476"/>
      <c r="C46" s="428"/>
      <c r="D46" s="429"/>
      <c r="E46" s="428"/>
      <c r="F46" s="430"/>
      <c r="G46" s="431"/>
      <c r="H46" s="428"/>
      <c r="I46" s="428"/>
      <c r="J46" s="463"/>
      <c r="K46" s="463"/>
      <c r="L46" s="464"/>
      <c r="M46" s="463"/>
      <c r="N46" s="75"/>
      <c r="O46" s="76"/>
      <c r="P46" s="76"/>
      <c r="Q46" s="75"/>
      <c r="R46" s="75"/>
      <c r="S46" s="75"/>
      <c r="T46" s="75"/>
      <c r="U46" s="75"/>
      <c r="V46" s="75"/>
      <c r="AT46" s="54"/>
      <c r="AU46" s="54"/>
      <c r="AV46" s="54"/>
      <c r="AW46" s="54"/>
      <c r="AX46" s="54"/>
      <c r="AY46" s="54"/>
      <c r="AZ46" s="54"/>
      <c r="BA46" s="54"/>
      <c r="BB46" s="54"/>
    </row>
    <row r="47" spans="1:54" ht="16.5" thickBot="1">
      <c r="A47" s="452" t="s">
        <v>238</v>
      </c>
      <c r="B47" s="453"/>
      <c r="C47" s="459">
        <f>C43+C45</f>
        <v>17553231</v>
      </c>
      <c r="D47" s="460">
        <f aca="true" t="shared" si="5" ref="D47:I47">D43+D45</f>
        <v>131888038</v>
      </c>
      <c r="E47" s="459">
        <f>SUM(E43:E46)</f>
        <v>0</v>
      </c>
      <c r="F47" s="461">
        <f t="shared" si="5"/>
        <v>55234</v>
      </c>
      <c r="G47" s="462"/>
      <c r="H47" s="459">
        <f t="shared" si="5"/>
        <v>102100.25600000005</v>
      </c>
      <c r="I47" s="459">
        <f t="shared" si="5"/>
        <v>2421632</v>
      </c>
      <c r="J47" s="459">
        <f>SUM(J43:J46)</f>
        <v>151965003.256</v>
      </c>
      <c r="K47" s="459">
        <f>SUM(K43:K46)</f>
        <v>-90006012.2704075</v>
      </c>
      <c r="L47" s="461">
        <f>SUM(L43:L45)</f>
        <v>61958990.9855925</v>
      </c>
      <c r="M47" s="459">
        <f>SUM(M43:M45)</f>
        <v>57558526</v>
      </c>
      <c r="N47" s="73"/>
      <c r="O47" s="74">
        <f>SUM(O43:O46)</f>
        <v>62477</v>
      </c>
      <c r="P47" s="74">
        <f>SUM(P43:P46)</f>
        <v>56810</v>
      </c>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T47" s="54"/>
      <c r="AU47" s="54"/>
      <c r="AV47" s="54"/>
      <c r="AW47" s="54"/>
      <c r="AX47" s="54"/>
      <c r="AY47" s="54"/>
      <c r="AZ47" s="54"/>
      <c r="BA47" s="54"/>
      <c r="BB47" s="54"/>
    </row>
    <row r="48" spans="1:54" ht="15.75" thickTop="1">
      <c r="A48" s="322"/>
      <c r="B48" s="90"/>
      <c r="C48" s="332"/>
      <c r="D48" s="81"/>
      <c r="E48" s="81"/>
      <c r="F48" s="81"/>
      <c r="G48" s="91"/>
      <c r="H48" s="81"/>
      <c r="I48" s="81"/>
      <c r="J48" s="81"/>
      <c r="K48" s="81"/>
      <c r="L48" s="81"/>
      <c r="M48" s="82"/>
      <c r="N48" s="6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T48" s="54"/>
      <c r="AU48" s="54"/>
      <c r="AV48" s="54"/>
      <c r="AW48" s="54"/>
      <c r="AX48" s="54"/>
      <c r="AY48" s="54"/>
      <c r="AZ48" s="54"/>
      <c r="BA48" s="54"/>
      <c r="BB48" s="54"/>
    </row>
    <row r="49" spans="1:54" ht="15">
      <c r="A49" s="71"/>
      <c r="B49" s="72"/>
      <c r="C49" s="65"/>
      <c r="D49" s="65"/>
      <c r="E49" s="65"/>
      <c r="F49" s="65"/>
      <c r="G49" s="66"/>
      <c r="H49" s="65"/>
      <c r="I49" s="65"/>
      <c r="J49" s="65"/>
      <c r="K49" s="65"/>
      <c r="L49" s="65"/>
      <c r="M49" s="65"/>
      <c r="N49" s="6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T49" s="54"/>
      <c r="AU49" s="54"/>
      <c r="AV49" s="54"/>
      <c r="AW49" s="54"/>
      <c r="AX49" s="54"/>
      <c r="AY49" s="54"/>
      <c r="AZ49" s="54"/>
      <c r="BA49" s="54"/>
      <c r="BB49" s="54"/>
    </row>
    <row r="50" spans="1:54" ht="15">
      <c r="A50" s="71"/>
      <c r="B50" s="72"/>
      <c r="C50" s="65"/>
      <c r="D50" s="65"/>
      <c r="E50" s="65"/>
      <c r="F50" s="65"/>
      <c r="G50" s="66"/>
      <c r="H50" s="65"/>
      <c r="I50" s="65"/>
      <c r="J50" s="65"/>
      <c r="K50" s="65"/>
      <c r="L50" s="65"/>
      <c r="M50" s="65"/>
      <c r="N50" s="6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T50" s="54"/>
      <c r="AU50" s="54"/>
      <c r="AV50" s="54"/>
      <c r="AW50" s="54"/>
      <c r="AX50" s="54"/>
      <c r="AY50" s="54"/>
      <c r="AZ50" s="54"/>
      <c r="BA50" s="54"/>
      <c r="BB50" s="54"/>
    </row>
    <row r="51" spans="1:54" ht="15">
      <c r="A51" s="71"/>
      <c r="B51" s="72"/>
      <c r="C51" s="65"/>
      <c r="D51" s="65"/>
      <c r="E51" s="65"/>
      <c r="F51" s="65"/>
      <c r="G51" s="66"/>
      <c r="H51" s="65"/>
      <c r="I51" s="65"/>
      <c r="J51" s="65"/>
      <c r="K51" s="65"/>
      <c r="L51" s="65"/>
      <c r="M51" s="65"/>
      <c r="N51" s="6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T51" s="54"/>
      <c r="AU51" s="54"/>
      <c r="AV51" s="54"/>
      <c r="AW51" s="54"/>
      <c r="AX51" s="54"/>
      <c r="AY51" s="54"/>
      <c r="AZ51" s="54"/>
      <c r="BA51" s="54"/>
      <c r="BB51" s="54"/>
    </row>
    <row r="52" spans="1:54" ht="15">
      <c r="A52" s="71"/>
      <c r="B52" s="72"/>
      <c r="C52" s="65"/>
      <c r="D52" s="65"/>
      <c r="E52" s="65"/>
      <c r="F52" s="65"/>
      <c r="G52" s="66"/>
      <c r="H52" s="65"/>
      <c r="I52" s="65"/>
      <c r="J52" s="65"/>
      <c r="K52" s="65"/>
      <c r="L52" s="65"/>
      <c r="M52" s="65"/>
      <c r="N52" s="6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T52" s="54"/>
      <c r="AU52" s="54"/>
      <c r="AV52" s="54"/>
      <c r="AW52" s="54"/>
      <c r="AX52" s="54"/>
      <c r="AY52" s="54"/>
      <c r="AZ52" s="54"/>
      <c r="BA52" s="54"/>
      <c r="BB52" s="54"/>
    </row>
    <row r="53" spans="1:54" ht="15">
      <c r="A53" s="71"/>
      <c r="B53" s="72"/>
      <c r="C53" s="65"/>
      <c r="D53" s="65"/>
      <c r="E53" s="65"/>
      <c r="F53" s="65"/>
      <c r="G53" s="66"/>
      <c r="H53" s="65"/>
      <c r="I53" s="65"/>
      <c r="J53" s="65"/>
      <c r="K53" s="65"/>
      <c r="L53" s="65"/>
      <c r="M53" s="65"/>
      <c r="N53" s="6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T53" s="54"/>
      <c r="AU53" s="54"/>
      <c r="AV53" s="54"/>
      <c r="AW53" s="54"/>
      <c r="AX53" s="54"/>
      <c r="AY53" s="54"/>
      <c r="AZ53" s="54"/>
      <c r="BA53" s="54"/>
      <c r="BB53" s="54"/>
    </row>
    <row r="54" spans="1:54" ht="15">
      <c r="A54" s="71"/>
      <c r="B54" s="72"/>
      <c r="C54" s="65"/>
      <c r="D54" s="65"/>
      <c r="E54" s="65"/>
      <c r="F54" s="65"/>
      <c r="G54" s="66"/>
      <c r="H54" s="65"/>
      <c r="I54" s="65"/>
      <c r="J54" s="65"/>
      <c r="K54" s="65"/>
      <c r="L54" s="65"/>
      <c r="M54" s="65"/>
      <c r="N54" s="6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T54" s="54"/>
      <c r="AU54" s="54"/>
      <c r="AV54" s="54"/>
      <c r="AW54" s="54"/>
      <c r="AX54" s="54"/>
      <c r="AY54" s="54"/>
      <c r="AZ54" s="54"/>
      <c r="BA54" s="54"/>
      <c r="BB54" s="54"/>
    </row>
    <row r="55" spans="1:54" ht="15">
      <c r="A55" s="71"/>
      <c r="B55" s="72"/>
      <c r="C55" s="65"/>
      <c r="D55" s="65"/>
      <c r="E55" s="65"/>
      <c r="F55" s="65"/>
      <c r="G55" s="66"/>
      <c r="H55" s="65"/>
      <c r="I55" s="65"/>
      <c r="J55" s="65"/>
      <c r="K55" s="65"/>
      <c r="L55" s="65"/>
      <c r="M55" s="65"/>
      <c r="N55" s="6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T55" s="54"/>
      <c r="AU55" s="54"/>
      <c r="AV55" s="54"/>
      <c r="AW55" s="54"/>
      <c r="AX55" s="54"/>
      <c r="AY55" s="54"/>
      <c r="AZ55" s="54"/>
      <c r="BA55" s="54"/>
      <c r="BB55" s="54"/>
    </row>
    <row r="56" spans="1:54" ht="15.75">
      <c r="A56" s="499" t="s">
        <v>115</v>
      </c>
      <c r="B56" s="72"/>
      <c r="C56" s="65"/>
      <c r="D56" s="65"/>
      <c r="E56" s="65"/>
      <c r="F56" s="65"/>
      <c r="G56" s="66"/>
      <c r="H56" s="65"/>
      <c r="I56" s="65"/>
      <c r="J56" s="65"/>
      <c r="K56" s="65"/>
      <c r="L56" s="65"/>
      <c r="M56" s="65"/>
      <c r="N56" s="6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T56" s="54"/>
      <c r="AU56" s="54"/>
      <c r="AV56" s="54"/>
      <c r="AW56" s="54"/>
      <c r="AX56" s="54"/>
      <c r="AY56" s="54"/>
      <c r="AZ56" s="54"/>
      <c r="BA56" s="54"/>
      <c r="BB56" s="54"/>
    </row>
    <row r="57" spans="1:54" ht="15.75">
      <c r="A57" s="500" t="s">
        <v>585</v>
      </c>
      <c r="B57" s="72"/>
      <c r="C57" s="65"/>
      <c r="D57" s="65"/>
      <c r="E57" s="65"/>
      <c r="F57" s="65"/>
      <c r="G57" s="66"/>
      <c r="H57" s="65"/>
      <c r="I57" s="65"/>
      <c r="J57" s="65"/>
      <c r="K57" s="65"/>
      <c r="L57" s="65"/>
      <c r="M57" s="65"/>
      <c r="N57" s="6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T57" s="54"/>
      <c r="AU57" s="54"/>
      <c r="AV57" s="54"/>
      <c r="AW57" s="54"/>
      <c r="AX57" s="54"/>
      <c r="AY57" s="54"/>
      <c r="AZ57" s="54"/>
      <c r="BA57" s="54"/>
      <c r="BB57" s="54"/>
    </row>
    <row r="58" spans="1:54" ht="15.75">
      <c r="A58" s="499" t="s">
        <v>188</v>
      </c>
      <c r="B58" s="72"/>
      <c r="C58" s="65"/>
      <c r="D58" s="65"/>
      <c r="E58" s="65"/>
      <c r="F58" s="65"/>
      <c r="G58" s="66"/>
      <c r="H58" s="65"/>
      <c r="I58" s="65"/>
      <c r="J58" s="65"/>
      <c r="K58" s="65"/>
      <c r="L58" s="65"/>
      <c r="M58" s="65"/>
      <c r="N58" s="6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T58" s="54"/>
      <c r="AU58" s="54"/>
      <c r="AV58" s="54"/>
      <c r="AW58" s="54"/>
      <c r="AX58" s="54"/>
      <c r="AY58" s="54"/>
      <c r="AZ58" s="54"/>
      <c r="BA58" s="54"/>
      <c r="BB58" s="54"/>
    </row>
    <row r="59" spans="1:54" ht="15">
      <c r="A59" s="50"/>
      <c r="B59" s="72"/>
      <c r="C59" s="65"/>
      <c r="D59" s="65"/>
      <c r="E59" s="65"/>
      <c r="F59" s="65"/>
      <c r="G59" s="66"/>
      <c r="H59" s="65"/>
      <c r="I59" s="65"/>
      <c r="J59" s="65"/>
      <c r="K59" s="65"/>
      <c r="L59" s="65"/>
      <c r="M59" s="65"/>
      <c r="N59" s="6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T59" s="54"/>
      <c r="AU59" s="54"/>
      <c r="AV59" s="54"/>
      <c r="AW59" s="54"/>
      <c r="AX59" s="54"/>
      <c r="AY59" s="54"/>
      <c r="AZ59" s="54"/>
      <c r="BA59" s="54"/>
      <c r="BB59" s="54"/>
    </row>
    <row r="60" spans="1:54" ht="15">
      <c r="A60" s="50"/>
      <c r="B60" s="72"/>
      <c r="C60" s="65"/>
      <c r="D60" s="65"/>
      <c r="E60" s="65"/>
      <c r="F60" s="65"/>
      <c r="G60" s="66"/>
      <c r="H60" s="65"/>
      <c r="I60" s="65"/>
      <c r="J60" s="65"/>
      <c r="K60" s="65"/>
      <c r="L60" s="65"/>
      <c r="M60" s="65"/>
      <c r="N60" s="6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T60" s="54"/>
      <c r="AU60" s="54"/>
      <c r="AV60" s="54"/>
      <c r="AW60" s="54"/>
      <c r="AX60" s="54"/>
      <c r="AY60" s="54"/>
      <c r="AZ60" s="54"/>
      <c r="BA60" s="54"/>
      <c r="BB60" s="54"/>
    </row>
    <row r="61" spans="1:54" ht="15">
      <c r="A61" s="71"/>
      <c r="B61" s="72"/>
      <c r="C61" s="65"/>
      <c r="D61" s="65"/>
      <c r="E61" s="65"/>
      <c r="F61" s="65"/>
      <c r="G61" s="66"/>
      <c r="H61" s="65"/>
      <c r="I61" s="65"/>
      <c r="J61" s="65"/>
      <c r="K61" s="65"/>
      <c r="L61" s="65"/>
      <c r="M61" s="65"/>
      <c r="N61" s="6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T61" s="54"/>
      <c r="AU61" s="54"/>
      <c r="AV61" s="54"/>
      <c r="AW61" s="54"/>
      <c r="AX61" s="54"/>
      <c r="AY61" s="54"/>
      <c r="AZ61" s="54"/>
      <c r="BA61" s="54"/>
      <c r="BB61" s="54"/>
    </row>
    <row r="62" spans="1:54" ht="15">
      <c r="A62" s="349"/>
      <c r="B62" s="350"/>
      <c r="C62" s="323"/>
      <c r="D62" s="323"/>
      <c r="E62" s="319"/>
      <c r="F62" s="330"/>
      <c r="G62" s="320"/>
      <c r="H62" s="323"/>
      <c r="I62" s="319"/>
      <c r="J62" s="323"/>
      <c r="K62" s="319"/>
      <c r="L62" s="342" t="s">
        <v>150</v>
      </c>
      <c r="M62" s="338" t="s">
        <v>583</v>
      </c>
      <c r="N62" s="6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T62" s="54"/>
      <c r="AU62" s="54"/>
      <c r="AV62" s="54"/>
      <c r="AW62" s="54"/>
      <c r="AX62" s="54"/>
      <c r="AY62" s="54"/>
      <c r="AZ62" s="54"/>
      <c r="BA62" s="54"/>
      <c r="BB62" s="54"/>
    </row>
    <row r="63" spans="1:54" ht="15">
      <c r="A63" s="321"/>
      <c r="B63" s="72"/>
      <c r="C63" s="343" t="s">
        <v>190</v>
      </c>
      <c r="D63" s="343" t="s">
        <v>191</v>
      </c>
      <c r="E63" s="56" t="s">
        <v>192</v>
      </c>
      <c r="F63" s="339"/>
      <c r="G63" s="58" t="s">
        <v>193</v>
      </c>
      <c r="H63" s="425" t="s">
        <v>646</v>
      </c>
      <c r="I63" s="56" t="s">
        <v>194</v>
      </c>
      <c r="J63" s="343" t="s">
        <v>195</v>
      </c>
      <c r="K63" s="56" t="s">
        <v>196</v>
      </c>
      <c r="L63" s="345" t="s">
        <v>197</v>
      </c>
      <c r="M63" s="60" t="s">
        <v>540</v>
      </c>
      <c r="N63" s="65"/>
      <c r="O63" s="75"/>
      <c r="P63" s="75"/>
      <c r="Q63" s="75"/>
      <c r="R63" s="75"/>
      <c r="S63" s="59" t="s">
        <v>197</v>
      </c>
      <c r="T63" s="56" t="s">
        <v>540</v>
      </c>
      <c r="U63" s="75"/>
      <c r="V63" s="75"/>
      <c r="W63" s="75"/>
      <c r="X63" s="75"/>
      <c r="Y63" s="75"/>
      <c r="Z63" s="75"/>
      <c r="AA63" s="75"/>
      <c r="AB63" s="75"/>
      <c r="AC63" s="75"/>
      <c r="AD63" s="75"/>
      <c r="AE63" s="75"/>
      <c r="AF63" s="75"/>
      <c r="AG63" s="75"/>
      <c r="AH63" s="75"/>
      <c r="AI63" s="75"/>
      <c r="AJ63" s="75"/>
      <c r="AK63" s="75"/>
      <c r="AL63" s="75"/>
      <c r="AM63" s="75"/>
      <c r="AN63" s="75"/>
      <c r="AO63" s="75"/>
      <c r="AP63" s="75"/>
      <c r="AT63" s="54"/>
      <c r="AU63" s="54"/>
      <c r="AV63" s="54"/>
      <c r="AW63" s="54"/>
      <c r="AX63" s="54"/>
      <c r="AY63" s="54"/>
      <c r="AZ63" s="54"/>
      <c r="BA63" s="54"/>
      <c r="BB63" s="54"/>
    </row>
    <row r="64" spans="1:54" ht="15">
      <c r="A64" s="321"/>
      <c r="B64" s="72"/>
      <c r="C64" s="334" t="s">
        <v>201</v>
      </c>
      <c r="D64" s="334" t="s">
        <v>201</v>
      </c>
      <c r="E64" s="90" t="s">
        <v>201</v>
      </c>
      <c r="F64" s="333" t="s">
        <v>202</v>
      </c>
      <c r="G64" s="340" t="s">
        <v>203</v>
      </c>
      <c r="H64" s="334" t="s">
        <v>201</v>
      </c>
      <c r="I64" s="90" t="s">
        <v>201</v>
      </c>
      <c r="J64" s="334" t="s">
        <v>201</v>
      </c>
      <c r="K64" s="90" t="s">
        <v>201</v>
      </c>
      <c r="L64" s="334" t="s">
        <v>201</v>
      </c>
      <c r="M64" s="348" t="s">
        <v>201</v>
      </c>
      <c r="N64" s="65"/>
      <c r="O64" s="75"/>
      <c r="P64" s="75"/>
      <c r="Q64" s="75"/>
      <c r="R64" s="75"/>
      <c r="S64" s="65" t="s">
        <v>201</v>
      </c>
      <c r="T64" s="65" t="s">
        <v>201</v>
      </c>
      <c r="U64" s="75"/>
      <c r="V64" s="75"/>
      <c r="W64" s="75"/>
      <c r="X64" s="75"/>
      <c r="Y64" s="75"/>
      <c r="Z64" s="75"/>
      <c r="AA64" s="75"/>
      <c r="AB64" s="75"/>
      <c r="AC64" s="75"/>
      <c r="AD64" s="75"/>
      <c r="AE64" s="75"/>
      <c r="AF64" s="75"/>
      <c r="AG64" s="75"/>
      <c r="AH64" s="75"/>
      <c r="AI64" s="75"/>
      <c r="AJ64" s="75"/>
      <c r="AK64" s="75"/>
      <c r="AL64" s="75"/>
      <c r="AM64" s="75"/>
      <c r="AN64" s="75"/>
      <c r="AO64" s="75"/>
      <c r="AP64" s="75"/>
      <c r="AT64" s="54"/>
      <c r="AU64" s="54"/>
      <c r="AV64" s="54"/>
      <c r="AW64" s="54"/>
      <c r="AX64" s="54"/>
      <c r="AY64" s="54"/>
      <c r="AZ64" s="54"/>
      <c r="BA64" s="54"/>
      <c r="BB64" s="54"/>
    </row>
    <row r="65" spans="1:54" ht="15">
      <c r="A65" s="321"/>
      <c r="B65" s="72"/>
      <c r="C65" s="421"/>
      <c r="D65" s="421"/>
      <c r="E65" s="72"/>
      <c r="F65" s="422"/>
      <c r="G65" s="423"/>
      <c r="H65" s="421"/>
      <c r="I65" s="72"/>
      <c r="J65" s="421"/>
      <c r="K65" s="72"/>
      <c r="L65" s="421"/>
      <c r="M65" s="424"/>
      <c r="N65" s="65"/>
      <c r="O65" s="75"/>
      <c r="P65" s="75"/>
      <c r="Q65" s="75"/>
      <c r="R65" s="75"/>
      <c r="S65" s="65"/>
      <c r="T65" s="65"/>
      <c r="U65" s="75"/>
      <c r="V65" s="75"/>
      <c r="W65" s="75"/>
      <c r="X65" s="75"/>
      <c r="Y65" s="75"/>
      <c r="Z65" s="75"/>
      <c r="AA65" s="75"/>
      <c r="AB65" s="75"/>
      <c r="AC65" s="75"/>
      <c r="AD65" s="75"/>
      <c r="AE65" s="75"/>
      <c r="AF65" s="75"/>
      <c r="AG65" s="75"/>
      <c r="AH65" s="75"/>
      <c r="AI65" s="75"/>
      <c r="AJ65" s="75"/>
      <c r="AK65" s="75"/>
      <c r="AL65" s="75"/>
      <c r="AM65" s="75"/>
      <c r="AN65" s="75"/>
      <c r="AO65" s="75"/>
      <c r="AP65" s="75"/>
      <c r="AT65" s="54"/>
      <c r="AU65" s="54"/>
      <c r="AV65" s="54"/>
      <c r="AW65" s="54"/>
      <c r="AX65" s="54"/>
      <c r="AY65" s="54"/>
      <c r="AZ65" s="54"/>
      <c r="BA65" s="54"/>
      <c r="BB65" s="54"/>
    </row>
    <row r="66" spans="1:14" ht="15">
      <c r="A66" s="353" t="s">
        <v>239</v>
      </c>
      <c r="B66" s="72"/>
      <c r="C66" s="325"/>
      <c r="D66" s="325"/>
      <c r="E66" s="75"/>
      <c r="F66" s="341"/>
      <c r="H66" s="327"/>
      <c r="I66" s="75"/>
      <c r="J66" s="327"/>
      <c r="K66" s="75"/>
      <c r="L66" s="327"/>
      <c r="M66" s="80"/>
      <c r="N66" s="75"/>
    </row>
    <row r="67" spans="1:44" ht="15.75">
      <c r="A67" s="478" t="s">
        <v>240</v>
      </c>
      <c r="B67" s="288">
        <v>1</v>
      </c>
      <c r="C67" s="479">
        <v>4453999</v>
      </c>
      <c r="D67" s="479">
        <f>+'ACC-DMSB'!J48+'ACC-DMSB'!J49</f>
        <v>94520341</v>
      </c>
      <c r="E67" s="274">
        <f>+'[3]Notes'!D15</f>
        <v>0</v>
      </c>
      <c r="F67" s="480">
        <v>18543</v>
      </c>
      <c r="G67" s="481">
        <f>+G23</f>
        <v>1.8485</v>
      </c>
      <c r="H67" s="479">
        <f>F67*G67</f>
        <v>34276.7355</v>
      </c>
      <c r="I67" s="274">
        <v>2470018</v>
      </c>
      <c r="J67" s="479">
        <f aca="true" t="shared" si="6" ref="J67:J74">+C67+D67+E67+H67+I67</f>
        <v>101478634.7355</v>
      </c>
      <c r="K67" s="274">
        <f aca="true" t="shared" si="7" ref="K67:K73">AR67</f>
        <v>0</v>
      </c>
      <c r="L67" s="479">
        <f aca="true" t="shared" si="8" ref="L67:L74">SUM(J67:K67)</f>
        <v>101478634.7355</v>
      </c>
      <c r="M67" s="482">
        <v>83658546</v>
      </c>
      <c r="N67" s="65"/>
      <c r="O67" s="52">
        <f>+ROUND(L67/1000,0)+U67</f>
        <v>101479</v>
      </c>
      <c r="P67" s="52">
        <f aca="true" t="shared" si="9" ref="P67:P74">+ROUND(M67/1000,0)</f>
        <v>83659</v>
      </c>
      <c r="S67" s="52">
        <f>+ROUND(L67/1000,0)</f>
        <v>101479</v>
      </c>
      <c r="T67" s="52">
        <f>+ROUND(M67/1000,0)</f>
        <v>83659</v>
      </c>
      <c r="AR67" s="52">
        <f aca="true" t="shared" si="10" ref="AR67:AR74">SUM(W67:AQ67)</f>
        <v>0</v>
      </c>
    </row>
    <row r="68" spans="1:44" ht="15.75">
      <c r="A68" s="478" t="s">
        <v>241</v>
      </c>
      <c r="B68" s="288">
        <v>2</v>
      </c>
      <c r="C68" s="479">
        <f>+'[3]Notes'!B28</f>
        <v>0</v>
      </c>
      <c r="D68" s="479">
        <f>+'ACC-DMSB'!J50</f>
        <v>45371369</v>
      </c>
      <c r="E68" s="274">
        <f>+'[3]Notes'!D28</f>
        <v>0</v>
      </c>
      <c r="F68" s="480">
        <f>+'[3]Notes'!E28</f>
        <v>0</v>
      </c>
      <c r="G68" s="483"/>
      <c r="H68" s="479">
        <f aca="true" t="shared" si="11" ref="H68:H74">F68*G68</f>
        <v>0</v>
      </c>
      <c r="I68" s="274">
        <f>+'[3]Notes'!H28</f>
        <v>0</v>
      </c>
      <c r="J68" s="479">
        <f t="shared" si="6"/>
        <v>45371369</v>
      </c>
      <c r="K68" s="274">
        <f t="shared" si="7"/>
        <v>0</v>
      </c>
      <c r="L68" s="479">
        <f t="shared" si="8"/>
        <v>45371369</v>
      </c>
      <c r="M68" s="482">
        <v>48314150</v>
      </c>
      <c r="N68" s="65"/>
      <c r="O68" s="52">
        <f>+ROUND(L68/1000,0)+U68</f>
        <v>45370</v>
      </c>
      <c r="P68" s="52">
        <f t="shared" si="9"/>
        <v>48314</v>
      </c>
      <c r="S68" s="52">
        <f aca="true" t="shared" si="12" ref="S68:S75">+ROUND(L68/1000,0)</f>
        <v>45371</v>
      </c>
      <c r="T68" s="52">
        <f aca="true" t="shared" si="13" ref="T68:T75">+ROUND(M68/1000,0)</f>
        <v>48314</v>
      </c>
      <c r="U68" s="52">
        <v>-1</v>
      </c>
      <c r="AR68" s="52">
        <f t="shared" si="10"/>
        <v>0</v>
      </c>
    </row>
    <row r="69" spans="1:44" ht="15.75">
      <c r="A69" s="478" t="s">
        <v>242</v>
      </c>
      <c r="B69" s="288">
        <v>3</v>
      </c>
      <c r="C69" s="479">
        <v>435290</v>
      </c>
      <c r="D69" s="479">
        <f>+'ACC-DMSB'!J51</f>
        <v>10159944</v>
      </c>
      <c r="E69" s="274">
        <f>'[3]Notes'!D34</f>
        <v>0</v>
      </c>
      <c r="F69" s="480">
        <f>'[3]Notes'!E34</f>
        <v>0</v>
      </c>
      <c r="G69" s="483"/>
      <c r="H69" s="479">
        <f t="shared" si="11"/>
        <v>0</v>
      </c>
      <c r="I69" s="274">
        <f>'[3]Notes'!H34</f>
        <v>0</v>
      </c>
      <c r="J69" s="479">
        <f t="shared" si="6"/>
        <v>10595234</v>
      </c>
      <c r="K69" s="274">
        <f t="shared" si="7"/>
        <v>0</v>
      </c>
      <c r="L69" s="479">
        <f t="shared" si="8"/>
        <v>10595234</v>
      </c>
      <c r="M69" s="482">
        <v>11769176</v>
      </c>
      <c r="N69" s="65"/>
      <c r="O69" s="52">
        <f>+ROUND(L69/1000,0)+U69</f>
        <v>10595</v>
      </c>
      <c r="P69" s="52">
        <f t="shared" si="9"/>
        <v>11769</v>
      </c>
      <c r="S69" s="52">
        <f t="shared" si="12"/>
        <v>10595</v>
      </c>
      <c r="T69" s="52">
        <f t="shared" si="13"/>
        <v>11769</v>
      </c>
      <c r="AR69" s="52">
        <f t="shared" si="10"/>
        <v>0</v>
      </c>
    </row>
    <row r="70" spans="1:44" ht="15.75">
      <c r="A70" s="478" t="s">
        <v>42</v>
      </c>
      <c r="B70" s="288">
        <v>4</v>
      </c>
      <c r="C70" s="479">
        <v>0</v>
      </c>
      <c r="D70" s="479">
        <f>+'ACC-DMSB'!J52</f>
        <v>37366304</v>
      </c>
      <c r="E70" s="274">
        <f>+'[3]Notes'!D43</f>
        <v>0</v>
      </c>
      <c r="F70" s="480">
        <f>+'[3]Notes'!E43</f>
        <v>0</v>
      </c>
      <c r="G70" s="483"/>
      <c r="H70" s="479">
        <f t="shared" si="11"/>
        <v>0</v>
      </c>
      <c r="I70" s="274">
        <f>+'[3]Notes'!H43</f>
        <v>0</v>
      </c>
      <c r="J70" s="479">
        <f t="shared" si="6"/>
        <v>37366304</v>
      </c>
      <c r="K70" s="274">
        <f t="shared" si="7"/>
        <v>0</v>
      </c>
      <c r="L70" s="479">
        <f t="shared" si="8"/>
        <v>37366304</v>
      </c>
      <c r="M70" s="482">
        <v>18369692</v>
      </c>
      <c r="N70" s="65"/>
      <c r="O70" s="52">
        <f>+ROUND(L70/1000,0)+U70</f>
        <v>37366</v>
      </c>
      <c r="P70" s="52">
        <f t="shared" si="9"/>
        <v>18370</v>
      </c>
      <c r="S70" s="52">
        <f t="shared" si="12"/>
        <v>37366</v>
      </c>
      <c r="T70" s="52">
        <f t="shared" si="13"/>
        <v>18370</v>
      </c>
      <c r="AR70" s="52">
        <f t="shared" si="10"/>
        <v>0</v>
      </c>
    </row>
    <row r="71" spans="1:44" ht="15.75">
      <c r="A71" s="478" t="s">
        <v>243</v>
      </c>
      <c r="B71" s="288"/>
      <c r="C71" s="479">
        <v>0</v>
      </c>
      <c r="D71" s="479">
        <f>+'ACC-DMSB'!J53</f>
        <v>0</v>
      </c>
      <c r="E71" s="274">
        <v>0</v>
      </c>
      <c r="F71" s="480">
        <v>0</v>
      </c>
      <c r="G71" s="483"/>
      <c r="H71" s="479">
        <f t="shared" si="11"/>
        <v>0</v>
      </c>
      <c r="I71" s="274">
        <v>0</v>
      </c>
      <c r="J71" s="479">
        <f t="shared" si="6"/>
        <v>0</v>
      </c>
      <c r="K71" s="274">
        <f t="shared" si="7"/>
        <v>0</v>
      </c>
      <c r="L71" s="479">
        <f t="shared" si="8"/>
        <v>0</v>
      </c>
      <c r="M71" s="482">
        <v>0</v>
      </c>
      <c r="N71" s="65"/>
      <c r="O71" s="52">
        <f>+ROUND(L71/1000,0)</f>
        <v>0</v>
      </c>
      <c r="P71" s="52">
        <f t="shared" si="9"/>
        <v>0</v>
      </c>
      <c r="S71" s="52">
        <f t="shared" si="12"/>
        <v>0</v>
      </c>
      <c r="T71" s="52">
        <f t="shared" si="13"/>
        <v>0</v>
      </c>
      <c r="AR71" s="52">
        <f t="shared" si="10"/>
        <v>0</v>
      </c>
    </row>
    <row r="72" spans="1:44" ht="15.75">
      <c r="A72" s="478" t="s">
        <v>244</v>
      </c>
      <c r="B72" s="288"/>
      <c r="C72" s="479">
        <v>0</v>
      </c>
      <c r="D72" s="479">
        <f>+'ACC-DMSB'!J54</f>
        <v>0</v>
      </c>
      <c r="E72" s="274">
        <v>0</v>
      </c>
      <c r="F72" s="480">
        <v>0</v>
      </c>
      <c r="G72" s="483"/>
      <c r="H72" s="479">
        <f t="shared" si="11"/>
        <v>0</v>
      </c>
      <c r="I72" s="274">
        <v>0</v>
      </c>
      <c r="J72" s="479">
        <f t="shared" si="6"/>
        <v>0</v>
      </c>
      <c r="K72" s="274">
        <f t="shared" si="7"/>
        <v>0</v>
      </c>
      <c r="L72" s="479">
        <f t="shared" si="8"/>
        <v>0</v>
      </c>
      <c r="M72" s="482">
        <v>0</v>
      </c>
      <c r="N72" s="65"/>
      <c r="O72" s="52">
        <f>+ROUND(L72/1000,0)</f>
        <v>0</v>
      </c>
      <c r="P72" s="52">
        <f t="shared" si="9"/>
        <v>0</v>
      </c>
      <c r="S72" s="52">
        <f t="shared" si="12"/>
        <v>0</v>
      </c>
      <c r="T72" s="52">
        <f t="shared" si="13"/>
        <v>0</v>
      </c>
      <c r="AR72" s="52">
        <f t="shared" si="10"/>
        <v>0</v>
      </c>
    </row>
    <row r="73" spans="1:44" ht="15.75">
      <c r="A73" s="478" t="s">
        <v>245</v>
      </c>
      <c r="B73" s="288"/>
      <c r="C73" s="479">
        <v>0</v>
      </c>
      <c r="D73" s="479">
        <f>+'ACC-DMSB'!J55</f>
        <v>0</v>
      </c>
      <c r="E73" s="274">
        <v>0</v>
      </c>
      <c r="F73" s="480">
        <v>0</v>
      </c>
      <c r="G73" s="483"/>
      <c r="H73" s="479">
        <f>F73*G73</f>
        <v>0</v>
      </c>
      <c r="I73" s="274">
        <v>0</v>
      </c>
      <c r="J73" s="479">
        <f t="shared" si="6"/>
        <v>0</v>
      </c>
      <c r="K73" s="274">
        <f t="shared" si="7"/>
        <v>0</v>
      </c>
      <c r="L73" s="479">
        <f>SUM(J73:K73)</f>
        <v>0</v>
      </c>
      <c r="M73" s="482">
        <v>0</v>
      </c>
      <c r="N73" s="65"/>
      <c r="O73" s="52">
        <f>+ROUND(L73/1000,0)</f>
        <v>0</v>
      </c>
      <c r="P73" s="52">
        <f t="shared" si="9"/>
        <v>0</v>
      </c>
      <c r="S73" s="52">
        <f t="shared" si="12"/>
        <v>0</v>
      </c>
      <c r="T73" s="52">
        <f t="shared" si="13"/>
        <v>0</v>
      </c>
      <c r="AR73" s="52">
        <f>SUM(W73:AQ73)</f>
        <v>0</v>
      </c>
    </row>
    <row r="74" spans="1:44" ht="15.75">
      <c r="A74" s="484" t="s">
        <v>246</v>
      </c>
      <c r="B74" s="485"/>
      <c r="C74" s="479">
        <f>7150000+30350513</f>
        <v>37500513</v>
      </c>
      <c r="D74" s="479">
        <f>+'ACC-DMSB'!J56</f>
        <v>0</v>
      </c>
      <c r="E74" s="274">
        <v>0</v>
      </c>
      <c r="F74" s="480">
        <v>0</v>
      </c>
      <c r="G74" s="483"/>
      <c r="H74" s="479">
        <f t="shared" si="11"/>
        <v>0</v>
      </c>
      <c r="I74" s="274">
        <v>30297868</v>
      </c>
      <c r="J74" s="479">
        <f t="shared" si="6"/>
        <v>67798381</v>
      </c>
      <c r="K74" s="274">
        <f>-I74-C74</f>
        <v>-67798381</v>
      </c>
      <c r="L74" s="479">
        <f t="shared" si="8"/>
        <v>0</v>
      </c>
      <c r="M74" s="482">
        <v>0</v>
      </c>
      <c r="N74" s="65"/>
      <c r="O74" s="52">
        <f>+ROUND(L74/1000,0)</f>
        <v>0</v>
      </c>
      <c r="P74" s="52">
        <f t="shared" si="9"/>
        <v>0</v>
      </c>
      <c r="S74" s="52">
        <f t="shared" si="12"/>
        <v>0</v>
      </c>
      <c r="T74" s="52">
        <f t="shared" si="13"/>
        <v>0</v>
      </c>
      <c r="AA74" s="52">
        <f>-'[3]DMSB'!D58</f>
        <v>-7150000</v>
      </c>
      <c r="AR74" s="52">
        <f t="shared" si="10"/>
        <v>-7150000</v>
      </c>
    </row>
    <row r="75" spans="1:22" ht="16.5" thickBot="1">
      <c r="A75" s="478"/>
      <c r="B75" s="288"/>
      <c r="C75" s="486">
        <f>SUM(C67:C74)</f>
        <v>42389802</v>
      </c>
      <c r="D75" s="486">
        <f aca="true" t="shared" si="14" ref="D75:I75">SUM(D67:D74)</f>
        <v>187417958</v>
      </c>
      <c r="E75" s="487">
        <f t="shared" si="14"/>
        <v>0</v>
      </c>
      <c r="F75" s="488">
        <f t="shared" si="14"/>
        <v>18543</v>
      </c>
      <c r="G75" s="489"/>
      <c r="H75" s="486">
        <f t="shared" si="14"/>
        <v>34276.7355</v>
      </c>
      <c r="I75" s="487">
        <f t="shared" si="14"/>
        <v>32767886</v>
      </c>
      <c r="J75" s="486">
        <f>SUM(J67:J74)</f>
        <v>262609922.73549998</v>
      </c>
      <c r="K75" s="487">
        <f>SUM(K67:K74)</f>
        <v>-67798381</v>
      </c>
      <c r="L75" s="486">
        <f>SUM(L67:L74)</f>
        <v>194811541.73549998</v>
      </c>
      <c r="M75" s="490">
        <f>SUM(M67:M74)</f>
        <v>162111564</v>
      </c>
      <c r="N75" s="85"/>
      <c r="O75" s="86">
        <f>SUM(O67:O74)</f>
        <v>194810</v>
      </c>
      <c r="P75" s="86">
        <f>SUM(P67:P74)</f>
        <v>162112</v>
      </c>
      <c r="Q75" s="75"/>
      <c r="R75" s="75"/>
      <c r="S75" s="79">
        <f t="shared" si="12"/>
        <v>194812</v>
      </c>
      <c r="T75" s="79">
        <f t="shared" si="13"/>
        <v>162112</v>
      </c>
      <c r="U75" s="75"/>
      <c r="V75" s="75"/>
    </row>
    <row r="76" spans="1:22" ht="16.5" thickTop="1">
      <c r="A76" s="478"/>
      <c r="B76" s="288"/>
      <c r="C76" s="479"/>
      <c r="D76" s="479"/>
      <c r="E76" s="274"/>
      <c r="F76" s="480"/>
      <c r="G76" s="483"/>
      <c r="H76" s="479"/>
      <c r="I76" s="274"/>
      <c r="J76" s="479"/>
      <c r="K76" s="274"/>
      <c r="L76" s="479"/>
      <c r="M76" s="482"/>
      <c r="N76" s="65"/>
      <c r="O76" s="75"/>
      <c r="P76" s="75"/>
      <c r="Q76" s="75"/>
      <c r="R76" s="75"/>
      <c r="S76" s="75"/>
      <c r="T76" s="75"/>
      <c r="U76" s="75"/>
      <c r="V76" s="75"/>
    </row>
    <row r="77" spans="1:16" ht="15.75">
      <c r="A77" s="478"/>
      <c r="B77" s="288"/>
      <c r="C77" s="479"/>
      <c r="D77" s="479"/>
      <c r="E77" s="274"/>
      <c r="F77" s="480"/>
      <c r="G77" s="483"/>
      <c r="H77" s="479"/>
      <c r="I77" s="274"/>
      <c r="J77" s="491"/>
      <c r="K77" s="492"/>
      <c r="L77" s="491"/>
      <c r="M77" s="493"/>
      <c r="N77" s="75"/>
      <c r="O77" s="52">
        <f>+ROUND(L77/1000,0)</f>
        <v>0</v>
      </c>
      <c r="P77" s="52">
        <f>+ROUND(M77/1000,0)</f>
        <v>0</v>
      </c>
    </row>
    <row r="78" spans="1:20" ht="15.75">
      <c r="A78" s="494" t="s">
        <v>247</v>
      </c>
      <c r="B78" s="288"/>
      <c r="C78" s="479"/>
      <c r="D78" s="479"/>
      <c r="E78" s="274"/>
      <c r="F78" s="480"/>
      <c r="G78" s="483"/>
      <c r="H78" s="479"/>
      <c r="I78" s="274"/>
      <c r="J78" s="491"/>
      <c r="K78" s="492"/>
      <c r="L78" s="491"/>
      <c r="M78" s="493"/>
      <c r="N78" s="75"/>
      <c r="O78" s="52">
        <f>+ROUND(L78/1000,0)</f>
        <v>0</v>
      </c>
      <c r="P78" s="52">
        <f>+ROUND(M78/1000,0)</f>
        <v>0</v>
      </c>
      <c r="S78" s="75"/>
      <c r="T78" s="75"/>
    </row>
    <row r="79" spans="1:20" ht="15.75">
      <c r="A79" s="494"/>
      <c r="B79" s="288"/>
      <c r="C79" s="479"/>
      <c r="D79" s="479"/>
      <c r="E79" s="274"/>
      <c r="F79" s="480"/>
      <c r="G79" s="483"/>
      <c r="H79" s="479"/>
      <c r="I79" s="274"/>
      <c r="J79" s="491"/>
      <c r="K79" s="492"/>
      <c r="L79" s="491"/>
      <c r="M79" s="493"/>
      <c r="N79" s="75"/>
      <c r="S79" s="75"/>
      <c r="T79" s="75"/>
    </row>
    <row r="80" spans="1:44" ht="15.75">
      <c r="A80" s="484" t="s">
        <v>248</v>
      </c>
      <c r="B80" s="485">
        <v>5</v>
      </c>
      <c r="C80" s="479">
        <v>0</v>
      </c>
      <c r="D80" s="479">
        <f>+'ACC-DMSB'!J61</f>
        <v>835177</v>
      </c>
      <c r="E80" s="274"/>
      <c r="F80" s="480">
        <v>0</v>
      </c>
      <c r="G80" s="483"/>
      <c r="H80" s="479">
        <v>0</v>
      </c>
      <c r="I80" s="274">
        <v>0</v>
      </c>
      <c r="J80" s="479">
        <f>+C80+D80+E80+H80+I80</f>
        <v>835177</v>
      </c>
      <c r="K80" s="274">
        <f aca="true" t="shared" si="15" ref="K80:K86">AR80</f>
        <v>0</v>
      </c>
      <c r="L80" s="479">
        <f aca="true" t="shared" si="16" ref="L80:L87">SUM(J80:K80)</f>
        <v>835177</v>
      </c>
      <c r="M80" s="482">
        <v>5538078</v>
      </c>
      <c r="N80" s="65"/>
      <c r="O80" s="52">
        <f aca="true" t="shared" si="17" ref="O80:O87">+ROUND(L80/1000,0)+U80</f>
        <v>835</v>
      </c>
      <c r="P80" s="52">
        <f aca="true" t="shared" si="18" ref="P80:P87">+ROUND(M80/1000,0)</f>
        <v>5538</v>
      </c>
      <c r="S80" s="75">
        <f aca="true" t="shared" si="19" ref="S80:S88">+ROUND(L80/1000,0)</f>
        <v>835</v>
      </c>
      <c r="T80" s="75">
        <f aca="true" t="shared" si="20" ref="T80:T88">+ROUND(M80/1000,0)</f>
        <v>5538</v>
      </c>
      <c r="AR80" s="52">
        <f aca="true" t="shared" si="21" ref="AR80:AR87">SUM(W80:AQ80)</f>
        <v>0</v>
      </c>
    </row>
    <row r="81" spans="1:44" ht="15.75">
      <c r="A81" s="478" t="s">
        <v>249</v>
      </c>
      <c r="B81" s="288"/>
      <c r="C81" s="479">
        <v>0</v>
      </c>
      <c r="D81" s="479">
        <f>+'ACC-DMSB'!J62</f>
        <v>52803657</v>
      </c>
      <c r="E81" s="274">
        <v>0</v>
      </c>
      <c r="F81" s="480">
        <v>0</v>
      </c>
      <c r="G81" s="483"/>
      <c r="H81" s="479">
        <v>0</v>
      </c>
      <c r="I81" s="274">
        <v>0</v>
      </c>
      <c r="J81" s="479">
        <f>+C81+D81+E81+H81+I81</f>
        <v>52803657</v>
      </c>
      <c r="K81" s="274">
        <f t="shared" si="15"/>
        <v>0</v>
      </c>
      <c r="L81" s="479">
        <f t="shared" si="16"/>
        <v>52803657</v>
      </c>
      <c r="M81" s="482">
        <v>39175699</v>
      </c>
      <c r="N81" s="65"/>
      <c r="O81" s="52">
        <f t="shared" si="17"/>
        <v>52804</v>
      </c>
      <c r="P81" s="52">
        <f t="shared" si="18"/>
        <v>39176</v>
      </c>
      <c r="S81" s="75">
        <f t="shared" si="19"/>
        <v>52804</v>
      </c>
      <c r="T81" s="75">
        <f t="shared" si="20"/>
        <v>39176</v>
      </c>
      <c r="AR81" s="52">
        <f t="shared" si="21"/>
        <v>0</v>
      </c>
    </row>
    <row r="82" spans="1:44" ht="15.75">
      <c r="A82" s="478" t="s">
        <v>250</v>
      </c>
      <c r="B82" s="288"/>
      <c r="C82" s="479">
        <v>149652</v>
      </c>
      <c r="D82" s="479">
        <f>+'ACC-DMSB'!J63</f>
        <v>30903212</v>
      </c>
      <c r="E82" s="274">
        <v>0</v>
      </c>
      <c r="F82" s="480">
        <v>16650</v>
      </c>
      <c r="G82" s="481">
        <f>+G67</f>
        <v>1.8485</v>
      </c>
      <c r="H82" s="479">
        <f>F82*G82</f>
        <v>30777.525</v>
      </c>
      <c r="I82" s="274">
        <v>2000</v>
      </c>
      <c r="J82" s="479">
        <f>+C82+D82+E82+H82+I82-2</f>
        <v>31085639.525</v>
      </c>
      <c r="K82" s="274">
        <v>2850000</v>
      </c>
      <c r="L82" s="479">
        <f t="shared" si="16"/>
        <v>33935639.525</v>
      </c>
      <c r="M82" s="482">
        <v>21118140</v>
      </c>
      <c r="N82" s="65"/>
      <c r="O82" s="52">
        <f t="shared" si="17"/>
        <v>33936</v>
      </c>
      <c r="P82" s="52">
        <f t="shared" si="18"/>
        <v>21118</v>
      </c>
      <c r="S82" s="75">
        <f t="shared" si="19"/>
        <v>33936</v>
      </c>
      <c r="T82" s="75">
        <f t="shared" si="20"/>
        <v>21118</v>
      </c>
      <c r="AA82" s="52">
        <v>0</v>
      </c>
      <c r="AR82" s="52">
        <f t="shared" si="21"/>
        <v>0</v>
      </c>
    </row>
    <row r="83" spans="1:44" ht="15.75">
      <c r="A83" s="478" t="s">
        <v>251</v>
      </c>
      <c r="B83" s="288"/>
      <c r="C83" s="479">
        <v>552684</v>
      </c>
      <c r="D83" s="479">
        <f>+'ACC-DMSB'!J67</f>
        <v>0</v>
      </c>
      <c r="E83" s="274">
        <v>0</v>
      </c>
      <c r="F83" s="480">
        <v>15533784</v>
      </c>
      <c r="G83" s="481">
        <v>1.8485</v>
      </c>
      <c r="H83" s="479">
        <v>30297868</v>
      </c>
      <c r="I83" s="274">
        <v>30350513</v>
      </c>
      <c r="J83" s="479">
        <f>+C83+D83+E83+H83+I83</f>
        <v>61201065</v>
      </c>
      <c r="K83" s="274">
        <f>-H83-I83</f>
        <v>-60648381</v>
      </c>
      <c r="L83" s="479">
        <f t="shared" si="16"/>
        <v>552684</v>
      </c>
      <c r="M83" s="482">
        <v>0</v>
      </c>
      <c r="N83" s="65"/>
      <c r="O83" s="52">
        <f t="shared" si="17"/>
        <v>553</v>
      </c>
      <c r="P83" s="52">
        <f t="shared" si="18"/>
        <v>0</v>
      </c>
      <c r="S83" s="75">
        <f t="shared" si="19"/>
        <v>553</v>
      </c>
      <c r="T83" s="75">
        <f t="shared" si="20"/>
        <v>0</v>
      </c>
      <c r="AP83" s="52">
        <f>-AP74</f>
        <v>0</v>
      </c>
      <c r="AR83" s="52">
        <f t="shared" si="21"/>
        <v>0</v>
      </c>
    </row>
    <row r="84" spans="1:44" ht="15.75">
      <c r="A84" s="484" t="s">
        <v>252</v>
      </c>
      <c r="B84" s="485"/>
      <c r="C84" s="479">
        <v>0</v>
      </c>
      <c r="D84" s="479">
        <f>+'ACC-DMSB'!J66</f>
        <v>0</v>
      </c>
      <c r="E84" s="274"/>
      <c r="F84" s="480">
        <v>0</v>
      </c>
      <c r="G84" s="481">
        <v>1.951</v>
      </c>
      <c r="H84" s="479">
        <f>G84*F84</f>
        <v>0</v>
      </c>
      <c r="I84" s="274">
        <v>0</v>
      </c>
      <c r="J84" s="479">
        <f>+C84+D84+E84+H84+I84</f>
        <v>0</v>
      </c>
      <c r="K84" s="274">
        <f t="shared" si="15"/>
        <v>0</v>
      </c>
      <c r="L84" s="479">
        <f t="shared" si="16"/>
        <v>0</v>
      </c>
      <c r="M84" s="482">
        <v>397935</v>
      </c>
      <c r="N84" s="65"/>
      <c r="O84" s="52">
        <f t="shared" si="17"/>
        <v>0</v>
      </c>
      <c r="P84" s="52">
        <f t="shared" si="18"/>
        <v>398</v>
      </c>
      <c r="S84" s="75">
        <f t="shared" si="19"/>
        <v>0</v>
      </c>
      <c r="T84" s="75">
        <f t="shared" si="20"/>
        <v>398</v>
      </c>
      <c r="AR84" s="52">
        <f t="shared" si="21"/>
        <v>0</v>
      </c>
    </row>
    <row r="85" spans="1:44" ht="15.75">
      <c r="A85" s="478" t="s">
        <v>253</v>
      </c>
      <c r="B85" s="485"/>
      <c r="C85" s="479">
        <v>0</v>
      </c>
      <c r="D85" s="479">
        <v>0</v>
      </c>
      <c r="E85" s="274">
        <v>0</v>
      </c>
      <c r="F85" s="480">
        <v>0</v>
      </c>
      <c r="G85" s="481"/>
      <c r="H85" s="479">
        <v>0</v>
      </c>
      <c r="I85" s="274">
        <v>0</v>
      </c>
      <c r="J85" s="479">
        <f>+C85+D85+E85+H85+I85</f>
        <v>0</v>
      </c>
      <c r="K85" s="274">
        <f>-J85</f>
        <v>0</v>
      </c>
      <c r="L85" s="479">
        <f t="shared" si="16"/>
        <v>0</v>
      </c>
      <c r="M85" s="482">
        <v>0</v>
      </c>
      <c r="N85" s="65"/>
      <c r="O85" s="52">
        <f t="shared" si="17"/>
        <v>0</v>
      </c>
      <c r="P85" s="52">
        <f t="shared" si="18"/>
        <v>0</v>
      </c>
      <c r="S85" s="75">
        <f t="shared" si="19"/>
        <v>0</v>
      </c>
      <c r="T85" s="75">
        <f t="shared" si="20"/>
        <v>0</v>
      </c>
      <c r="AR85" s="52">
        <f t="shared" si="21"/>
        <v>0</v>
      </c>
    </row>
    <row r="86" spans="1:44" ht="15.75">
      <c r="A86" s="478" t="s">
        <v>21</v>
      </c>
      <c r="B86" s="288"/>
      <c r="C86" s="479">
        <v>0</v>
      </c>
      <c r="D86" s="479">
        <f>+'ACC-DMSB'!J64</f>
        <v>2410782</v>
      </c>
      <c r="E86" s="274">
        <v>0</v>
      </c>
      <c r="F86" s="480">
        <v>0</v>
      </c>
      <c r="G86" s="483"/>
      <c r="H86" s="479">
        <v>0</v>
      </c>
      <c r="I86" s="274">
        <v>0</v>
      </c>
      <c r="J86" s="479">
        <f>+C86+D86+E86+H86+I86</f>
        <v>2410782</v>
      </c>
      <c r="K86" s="274">
        <f t="shared" si="15"/>
        <v>0</v>
      </c>
      <c r="L86" s="479">
        <f t="shared" si="16"/>
        <v>2410782</v>
      </c>
      <c r="M86" s="482">
        <v>894405</v>
      </c>
      <c r="N86" s="65"/>
      <c r="O86" s="52">
        <f t="shared" si="17"/>
        <v>2411</v>
      </c>
      <c r="P86" s="52">
        <f t="shared" si="18"/>
        <v>894</v>
      </c>
      <c r="S86" s="75">
        <f t="shared" si="19"/>
        <v>2411</v>
      </c>
      <c r="T86" s="75">
        <f t="shared" si="20"/>
        <v>894</v>
      </c>
      <c r="AR86" s="52">
        <f t="shared" si="21"/>
        <v>0</v>
      </c>
    </row>
    <row r="87" spans="1:44" ht="15.75">
      <c r="A87" s="478" t="s">
        <v>237</v>
      </c>
      <c r="B87" s="288"/>
      <c r="C87" s="479">
        <v>4590000</v>
      </c>
      <c r="D87" s="479">
        <f>+'ACC-DMSB'!J65</f>
        <v>10000000</v>
      </c>
      <c r="E87" s="274"/>
      <c r="F87" s="480">
        <v>0</v>
      </c>
      <c r="G87" s="483"/>
      <c r="H87" s="479">
        <v>0</v>
      </c>
      <c r="I87" s="274">
        <v>0</v>
      </c>
      <c r="J87" s="479">
        <f>+C87+D87+E87+H87+I87</f>
        <v>14590000</v>
      </c>
      <c r="K87" s="274">
        <f>-D87</f>
        <v>-10000000</v>
      </c>
      <c r="L87" s="479">
        <f t="shared" si="16"/>
        <v>4590000</v>
      </c>
      <c r="M87" s="482">
        <v>4590000</v>
      </c>
      <c r="N87" s="65"/>
      <c r="O87" s="52">
        <f t="shared" si="17"/>
        <v>4590</v>
      </c>
      <c r="P87" s="52">
        <f t="shared" si="18"/>
        <v>4590</v>
      </c>
      <c r="S87" s="75">
        <f t="shared" si="19"/>
        <v>4590</v>
      </c>
      <c r="T87" s="75">
        <f t="shared" si="20"/>
        <v>4590</v>
      </c>
      <c r="AA87" s="52">
        <f>-Z45</f>
        <v>0</v>
      </c>
      <c r="AR87" s="52">
        <f t="shared" si="21"/>
        <v>0</v>
      </c>
    </row>
    <row r="88" spans="1:22" ht="16.5" thickBot="1">
      <c r="A88" s="478"/>
      <c r="B88" s="288"/>
      <c r="C88" s="486">
        <f aca="true" t="shared" si="22" ref="C88:I88">SUM(C80:C87)</f>
        <v>5292336</v>
      </c>
      <c r="D88" s="486">
        <f t="shared" si="22"/>
        <v>96952828</v>
      </c>
      <c r="E88" s="488">
        <f t="shared" si="22"/>
        <v>0</v>
      </c>
      <c r="F88" s="488">
        <f t="shared" si="22"/>
        <v>15550434</v>
      </c>
      <c r="G88" s="489"/>
      <c r="H88" s="486">
        <f t="shared" si="22"/>
        <v>30328645.525</v>
      </c>
      <c r="I88" s="487">
        <f t="shared" si="22"/>
        <v>30352513</v>
      </c>
      <c r="J88" s="486">
        <f>SUM(J80:J87)</f>
        <v>162926320.525</v>
      </c>
      <c r="K88" s="487">
        <f>SUM(K80:K87)</f>
        <v>-67798381</v>
      </c>
      <c r="L88" s="486">
        <f>SUM(L80:L87)</f>
        <v>95127939.525</v>
      </c>
      <c r="M88" s="490">
        <f>SUM(M80:M87)</f>
        <v>71714257</v>
      </c>
      <c r="N88" s="85"/>
      <c r="O88" s="86">
        <f>SUM(O80:O87)</f>
        <v>95129</v>
      </c>
      <c r="P88" s="86">
        <f>SUM(P80:P87)</f>
        <v>71714</v>
      </c>
      <c r="Q88" s="75"/>
      <c r="R88" s="75"/>
      <c r="S88" s="74">
        <f t="shared" si="19"/>
        <v>95128</v>
      </c>
      <c r="T88" s="74">
        <f t="shared" si="20"/>
        <v>71714</v>
      </c>
      <c r="U88" s="75"/>
      <c r="V88" s="75"/>
    </row>
    <row r="89" spans="1:22" ht="16.5" thickTop="1">
      <c r="A89" s="498"/>
      <c r="B89" s="495"/>
      <c r="C89" s="296"/>
      <c r="D89" s="296"/>
      <c r="E89" s="296"/>
      <c r="F89" s="296"/>
      <c r="G89" s="496"/>
      <c r="H89" s="296"/>
      <c r="I89" s="296"/>
      <c r="J89" s="296"/>
      <c r="K89" s="296"/>
      <c r="L89" s="296"/>
      <c r="M89" s="497"/>
      <c r="N89" s="65"/>
      <c r="O89" s="75"/>
      <c r="P89" s="75"/>
      <c r="Q89" s="75"/>
      <c r="R89" s="75"/>
      <c r="S89" s="75"/>
      <c r="T89" s="75"/>
      <c r="U89" s="75"/>
      <c r="V89" s="75"/>
    </row>
    <row r="90" spans="1:22" ht="15">
      <c r="A90" s="71"/>
      <c r="B90" s="72"/>
      <c r="C90" s="65"/>
      <c r="D90" s="65"/>
      <c r="E90" s="65"/>
      <c r="F90" s="65"/>
      <c r="G90" s="66"/>
      <c r="H90" s="65"/>
      <c r="I90" s="65"/>
      <c r="J90" s="65"/>
      <c r="K90" s="65"/>
      <c r="L90" s="65"/>
      <c r="M90" s="65"/>
      <c r="N90" s="65"/>
      <c r="O90" s="75"/>
      <c r="P90" s="75"/>
      <c r="Q90" s="75"/>
      <c r="R90" s="75"/>
      <c r="S90" s="75"/>
      <c r="T90" s="75"/>
      <c r="U90" s="75"/>
      <c r="V90" s="75"/>
    </row>
    <row r="91" spans="1:22" ht="15">
      <c r="A91" s="71"/>
      <c r="B91" s="72"/>
      <c r="C91" s="65"/>
      <c r="D91" s="65"/>
      <c r="E91" s="65"/>
      <c r="F91" s="65"/>
      <c r="G91" s="66"/>
      <c r="H91" s="65"/>
      <c r="I91" s="65"/>
      <c r="J91" s="65"/>
      <c r="K91" s="65"/>
      <c r="L91" s="65"/>
      <c r="M91" s="65"/>
      <c r="N91" s="65"/>
      <c r="O91" s="75"/>
      <c r="P91" s="75"/>
      <c r="Q91" s="75"/>
      <c r="R91" s="75"/>
      <c r="S91" s="75"/>
      <c r="T91" s="75"/>
      <c r="U91" s="75"/>
      <c r="V91" s="75"/>
    </row>
    <row r="92" spans="1:22" ht="15">
      <c r="A92" s="71"/>
      <c r="B92" s="72"/>
      <c r="C92" s="65"/>
      <c r="D92" s="65"/>
      <c r="E92" s="65"/>
      <c r="F92" s="65"/>
      <c r="G92" s="66"/>
      <c r="H92" s="65"/>
      <c r="I92" s="65"/>
      <c r="J92" s="65"/>
      <c r="K92" s="65"/>
      <c r="L92" s="65"/>
      <c r="M92" s="65"/>
      <c r="N92" s="65"/>
      <c r="O92" s="75"/>
      <c r="P92" s="75"/>
      <c r="Q92" s="75"/>
      <c r="R92" s="75"/>
      <c r="S92" s="75"/>
      <c r="T92" s="75"/>
      <c r="U92" s="75"/>
      <c r="V92" s="75"/>
    </row>
    <row r="93" spans="1:22" ht="15">
      <c r="A93" s="71"/>
      <c r="B93" s="72"/>
      <c r="C93" s="65"/>
      <c r="D93" s="65"/>
      <c r="E93" s="65"/>
      <c r="F93" s="65"/>
      <c r="G93" s="66"/>
      <c r="H93" s="65"/>
      <c r="I93" s="65"/>
      <c r="J93" s="65"/>
      <c r="K93" s="65"/>
      <c r="L93" s="65"/>
      <c r="M93" s="65"/>
      <c r="N93" s="65"/>
      <c r="O93" s="75"/>
      <c r="P93" s="75"/>
      <c r="Q93" s="75"/>
      <c r="R93" s="75"/>
      <c r="S93" s="75"/>
      <c r="T93" s="75"/>
      <c r="U93" s="75"/>
      <c r="V93" s="75"/>
    </row>
    <row r="94" spans="1:22" ht="15">
      <c r="A94" s="71"/>
      <c r="B94" s="72"/>
      <c r="C94" s="65"/>
      <c r="D94" s="65"/>
      <c r="E94" s="65"/>
      <c r="F94" s="65"/>
      <c r="G94" s="66"/>
      <c r="H94" s="65"/>
      <c r="I94" s="65"/>
      <c r="J94" s="65"/>
      <c r="K94" s="65"/>
      <c r="L94" s="65"/>
      <c r="M94" s="65"/>
      <c r="N94" s="65"/>
      <c r="O94" s="75"/>
      <c r="P94" s="75"/>
      <c r="Q94" s="75"/>
      <c r="R94" s="75"/>
      <c r="S94" s="75"/>
      <c r="T94" s="75"/>
      <c r="U94" s="75"/>
      <c r="V94" s="75"/>
    </row>
    <row r="95" spans="1:22" ht="15">
      <c r="A95" s="71"/>
      <c r="B95" s="72"/>
      <c r="C95" s="65"/>
      <c r="D95" s="65"/>
      <c r="E95" s="65"/>
      <c r="F95" s="65"/>
      <c r="G95" s="66"/>
      <c r="H95" s="65"/>
      <c r="I95" s="65"/>
      <c r="J95" s="65"/>
      <c r="K95" s="65"/>
      <c r="L95" s="65"/>
      <c r="M95" s="65"/>
      <c r="N95" s="65"/>
      <c r="O95" s="75"/>
      <c r="P95" s="75"/>
      <c r="Q95" s="75"/>
      <c r="R95" s="75"/>
      <c r="S95" s="75"/>
      <c r="T95" s="75"/>
      <c r="U95" s="75"/>
      <c r="V95" s="75"/>
    </row>
    <row r="96" spans="1:22" ht="15">
      <c r="A96" s="71"/>
      <c r="B96" s="72"/>
      <c r="C96" s="65"/>
      <c r="D96" s="65"/>
      <c r="E96" s="65"/>
      <c r="F96" s="65"/>
      <c r="G96" s="66"/>
      <c r="H96" s="65"/>
      <c r="I96" s="65"/>
      <c r="J96" s="65"/>
      <c r="K96" s="65"/>
      <c r="L96" s="65"/>
      <c r="M96" s="65"/>
      <c r="N96" s="65"/>
      <c r="O96" s="75"/>
      <c r="P96" s="75"/>
      <c r="Q96" s="75"/>
      <c r="R96" s="75"/>
      <c r="S96" s="75"/>
      <c r="T96" s="75"/>
      <c r="U96" s="75"/>
      <c r="V96" s="75"/>
    </row>
    <row r="97" spans="1:22" ht="15">
      <c r="A97" s="71"/>
      <c r="B97" s="72"/>
      <c r="C97" s="65"/>
      <c r="D97" s="65"/>
      <c r="E97" s="65"/>
      <c r="F97" s="65"/>
      <c r="G97" s="66"/>
      <c r="H97" s="65"/>
      <c r="I97" s="65"/>
      <c r="J97" s="65"/>
      <c r="K97" s="65"/>
      <c r="L97" s="65"/>
      <c r="M97" s="65"/>
      <c r="N97" s="65"/>
      <c r="O97" s="75"/>
      <c r="P97" s="75"/>
      <c r="Q97" s="75"/>
      <c r="R97" s="75"/>
      <c r="S97" s="75"/>
      <c r="T97" s="75"/>
      <c r="U97" s="75"/>
      <c r="V97" s="75"/>
    </row>
    <row r="98" spans="1:22" ht="15">
      <c r="A98" s="71"/>
      <c r="B98" s="72"/>
      <c r="C98" s="65"/>
      <c r="D98" s="65"/>
      <c r="E98" s="65"/>
      <c r="F98" s="65"/>
      <c r="G98" s="66"/>
      <c r="H98" s="65"/>
      <c r="I98" s="65"/>
      <c r="J98" s="65"/>
      <c r="K98" s="65"/>
      <c r="L98" s="65"/>
      <c r="M98" s="65"/>
      <c r="N98" s="65"/>
      <c r="O98" s="75"/>
      <c r="P98" s="75"/>
      <c r="Q98" s="75"/>
      <c r="R98" s="75"/>
      <c r="S98" s="75"/>
      <c r="T98" s="75"/>
      <c r="U98" s="75"/>
      <c r="V98" s="75"/>
    </row>
    <row r="99" spans="1:22" ht="15">
      <c r="A99" s="71"/>
      <c r="B99" s="72"/>
      <c r="C99" s="65"/>
      <c r="D99" s="65"/>
      <c r="E99" s="65"/>
      <c r="F99" s="65"/>
      <c r="G99" s="66"/>
      <c r="H99" s="65"/>
      <c r="I99" s="65"/>
      <c r="J99" s="65"/>
      <c r="K99" s="65"/>
      <c r="L99" s="65"/>
      <c r="M99" s="65"/>
      <c r="N99" s="65"/>
      <c r="O99" s="75"/>
      <c r="P99" s="75"/>
      <c r="Q99" s="75"/>
      <c r="R99" s="75"/>
      <c r="S99" s="75"/>
      <c r="T99" s="75"/>
      <c r="U99" s="75"/>
      <c r="V99" s="75"/>
    </row>
    <row r="100" spans="1:22" ht="15">
      <c r="A100" s="71"/>
      <c r="B100" s="72"/>
      <c r="C100" s="65"/>
      <c r="D100" s="65"/>
      <c r="E100" s="65"/>
      <c r="F100" s="65"/>
      <c r="G100" s="66"/>
      <c r="H100" s="65"/>
      <c r="I100" s="65"/>
      <c r="J100" s="65"/>
      <c r="K100" s="65"/>
      <c r="L100" s="65"/>
      <c r="M100" s="65"/>
      <c r="N100" s="65"/>
      <c r="O100" s="75"/>
      <c r="P100" s="75"/>
      <c r="Q100" s="75"/>
      <c r="R100" s="75"/>
      <c r="S100" s="75"/>
      <c r="T100" s="75"/>
      <c r="U100" s="75"/>
      <c r="V100" s="75"/>
    </row>
    <row r="101" spans="1:22" ht="15.75">
      <c r="A101" s="499" t="s">
        <v>115</v>
      </c>
      <c r="B101" s="72"/>
      <c r="C101" s="65"/>
      <c r="D101" s="65"/>
      <c r="E101" s="65"/>
      <c r="F101" s="65"/>
      <c r="G101" s="66"/>
      <c r="H101" s="65"/>
      <c r="I101" s="65"/>
      <c r="J101" s="65"/>
      <c r="K101" s="65"/>
      <c r="L101" s="65"/>
      <c r="M101" s="65"/>
      <c r="N101" s="65"/>
      <c r="O101" s="75"/>
      <c r="P101" s="75"/>
      <c r="Q101" s="75"/>
      <c r="R101" s="75"/>
      <c r="S101" s="75"/>
      <c r="T101" s="75"/>
      <c r="U101" s="75"/>
      <c r="V101" s="75"/>
    </row>
    <row r="102" spans="1:22" ht="15.75">
      <c r="A102" s="500" t="s">
        <v>585</v>
      </c>
      <c r="B102" s="72"/>
      <c r="C102" s="65"/>
      <c r="D102" s="65"/>
      <c r="E102" s="65"/>
      <c r="F102" s="65"/>
      <c r="G102" s="66"/>
      <c r="H102" s="65"/>
      <c r="I102" s="65"/>
      <c r="J102" s="65"/>
      <c r="K102" s="65"/>
      <c r="L102" s="65"/>
      <c r="M102" s="65"/>
      <c r="N102" s="65"/>
      <c r="O102" s="75"/>
      <c r="P102" s="75"/>
      <c r="Q102" s="75"/>
      <c r="R102" s="75"/>
      <c r="S102" s="75"/>
      <c r="T102" s="75"/>
      <c r="U102" s="75"/>
      <c r="V102" s="75"/>
    </row>
    <row r="103" spans="1:22" ht="15.75">
      <c r="A103" s="499" t="s">
        <v>188</v>
      </c>
      <c r="B103" s="72"/>
      <c r="C103" s="65"/>
      <c r="D103" s="65"/>
      <c r="E103" s="65"/>
      <c r="F103" s="65"/>
      <c r="G103" s="66"/>
      <c r="H103" s="65"/>
      <c r="I103" s="65"/>
      <c r="J103" s="65"/>
      <c r="K103" s="65"/>
      <c r="L103" s="65"/>
      <c r="M103" s="65"/>
      <c r="N103" s="65"/>
      <c r="O103" s="75"/>
      <c r="P103" s="75"/>
      <c r="Q103" s="75"/>
      <c r="R103" s="75"/>
      <c r="S103" s="75"/>
      <c r="T103" s="75"/>
      <c r="U103" s="75"/>
      <c r="V103" s="75"/>
    </row>
    <row r="104" spans="1:22" ht="15">
      <c r="A104" s="50"/>
      <c r="B104" s="72"/>
      <c r="C104" s="65"/>
      <c r="D104" s="65"/>
      <c r="E104" s="65"/>
      <c r="F104" s="65"/>
      <c r="G104" s="66"/>
      <c r="H104" s="65"/>
      <c r="I104" s="65"/>
      <c r="J104" s="65"/>
      <c r="K104" s="65"/>
      <c r="L104" s="65"/>
      <c r="M104" s="65"/>
      <c r="N104" s="65"/>
      <c r="O104" s="75"/>
      <c r="P104" s="75"/>
      <c r="Q104" s="75"/>
      <c r="R104" s="75"/>
      <c r="S104" s="75"/>
      <c r="T104" s="75"/>
      <c r="U104" s="75"/>
      <c r="V104" s="75"/>
    </row>
    <row r="105" spans="1:22" ht="15">
      <c r="A105" s="50"/>
      <c r="B105" s="72"/>
      <c r="C105" s="65"/>
      <c r="D105" s="65"/>
      <c r="E105" s="65"/>
      <c r="F105" s="65"/>
      <c r="G105" s="66"/>
      <c r="H105" s="65"/>
      <c r="I105" s="65"/>
      <c r="J105" s="65"/>
      <c r="K105" s="65"/>
      <c r="L105" s="65"/>
      <c r="M105" s="65"/>
      <c r="N105" s="65"/>
      <c r="O105" s="75"/>
      <c r="P105" s="75"/>
      <c r="Q105" s="75"/>
      <c r="R105" s="75"/>
      <c r="S105" s="75"/>
      <c r="T105" s="75"/>
      <c r="U105" s="75"/>
      <c r="V105" s="75"/>
    </row>
    <row r="106" spans="1:22" ht="15">
      <c r="A106" s="71"/>
      <c r="B106" s="72"/>
      <c r="C106" s="65"/>
      <c r="D106" s="65"/>
      <c r="E106" s="65"/>
      <c r="F106" s="65"/>
      <c r="G106" s="66"/>
      <c r="H106" s="65"/>
      <c r="I106" s="65"/>
      <c r="J106" s="65"/>
      <c r="K106" s="65"/>
      <c r="L106" s="65"/>
      <c r="M106" s="65"/>
      <c r="N106" s="65"/>
      <c r="O106" s="75"/>
      <c r="P106" s="75"/>
      <c r="Q106" s="75"/>
      <c r="R106" s="75"/>
      <c r="S106" s="75"/>
      <c r="T106" s="75"/>
      <c r="U106" s="75"/>
      <c r="V106" s="75"/>
    </row>
    <row r="107" spans="1:22" ht="15">
      <c r="A107" s="349"/>
      <c r="B107" s="350"/>
      <c r="C107" s="323"/>
      <c r="D107" s="330"/>
      <c r="E107" s="323"/>
      <c r="F107" s="330"/>
      <c r="G107" s="320"/>
      <c r="H107" s="323"/>
      <c r="I107" s="319"/>
      <c r="J107" s="323"/>
      <c r="K107" s="319"/>
      <c r="L107" s="342" t="s">
        <v>150</v>
      </c>
      <c r="M107" s="338" t="s">
        <v>583</v>
      </c>
      <c r="N107" s="65"/>
      <c r="O107" s="75"/>
      <c r="P107" s="75"/>
      <c r="Q107" s="75"/>
      <c r="R107" s="75"/>
      <c r="S107" s="75"/>
      <c r="T107" s="75"/>
      <c r="U107" s="75"/>
      <c r="V107" s="75"/>
    </row>
    <row r="108" spans="1:22" ht="15">
      <c r="A108" s="321"/>
      <c r="B108" s="72"/>
      <c r="C108" s="343" t="s">
        <v>190</v>
      </c>
      <c r="D108" s="339" t="s">
        <v>191</v>
      </c>
      <c r="E108" s="343" t="s">
        <v>192</v>
      </c>
      <c r="F108" s="339"/>
      <c r="G108" s="58" t="s">
        <v>193</v>
      </c>
      <c r="H108" s="425" t="s">
        <v>646</v>
      </c>
      <c r="I108" s="56" t="s">
        <v>194</v>
      </c>
      <c r="J108" s="343" t="s">
        <v>195</v>
      </c>
      <c r="K108" s="56" t="s">
        <v>196</v>
      </c>
      <c r="L108" s="345" t="s">
        <v>197</v>
      </c>
      <c r="M108" s="60" t="s">
        <v>540</v>
      </c>
      <c r="N108" s="65"/>
      <c r="O108" s="75"/>
      <c r="P108" s="75"/>
      <c r="Q108" s="75"/>
      <c r="R108" s="75"/>
      <c r="S108" s="75"/>
      <c r="T108" s="75"/>
      <c r="U108" s="75"/>
      <c r="V108" s="75"/>
    </row>
    <row r="109" spans="1:16" ht="15">
      <c r="A109" s="321"/>
      <c r="B109" s="72"/>
      <c r="C109" s="334" t="s">
        <v>201</v>
      </c>
      <c r="D109" s="333" t="s">
        <v>201</v>
      </c>
      <c r="E109" s="334" t="s">
        <v>201</v>
      </c>
      <c r="F109" s="333" t="s">
        <v>202</v>
      </c>
      <c r="G109" s="340" t="s">
        <v>203</v>
      </c>
      <c r="H109" s="334" t="s">
        <v>201</v>
      </c>
      <c r="I109" s="90" t="s">
        <v>201</v>
      </c>
      <c r="J109" s="334" t="s">
        <v>201</v>
      </c>
      <c r="K109" s="90" t="s">
        <v>201</v>
      </c>
      <c r="L109" s="334" t="s">
        <v>201</v>
      </c>
      <c r="M109" s="348" t="s">
        <v>201</v>
      </c>
      <c r="N109" s="75"/>
      <c r="O109" s="52" t="e">
        <f>+ROUND(L109/1000,0)</f>
        <v>#VALUE!</v>
      </c>
      <c r="P109" s="52" t="e">
        <f>+ROUND(M109/1000,0)</f>
        <v>#VALUE!</v>
      </c>
    </row>
    <row r="110" spans="1:14" ht="15">
      <c r="A110" s="321"/>
      <c r="B110" s="72"/>
      <c r="C110" s="421"/>
      <c r="D110" s="422"/>
      <c r="E110" s="421"/>
      <c r="F110" s="422"/>
      <c r="G110" s="423"/>
      <c r="H110" s="421"/>
      <c r="I110" s="72"/>
      <c r="J110" s="421"/>
      <c r="K110" s="72"/>
      <c r="L110" s="421"/>
      <c r="M110" s="424"/>
      <c r="N110" s="75"/>
    </row>
    <row r="111" spans="1:22" ht="15">
      <c r="A111" s="321" t="s">
        <v>254</v>
      </c>
      <c r="B111" s="72"/>
      <c r="C111" s="325">
        <f>C75-C88</f>
        <v>37097466</v>
      </c>
      <c r="D111" s="329">
        <f>D75-D88</f>
        <v>90465130</v>
      </c>
      <c r="E111" s="325">
        <f>E75-E88</f>
        <v>0</v>
      </c>
      <c r="F111" s="329">
        <f>F75-F88</f>
        <v>-15531891</v>
      </c>
      <c r="G111" s="84">
        <v>1.951</v>
      </c>
      <c r="H111" s="325">
        <f>H75-H88</f>
        <v>-30294368.789499998</v>
      </c>
      <c r="I111" s="65">
        <f>I75-I88</f>
        <v>2415373</v>
      </c>
      <c r="J111" s="325">
        <f>J75-J88</f>
        <v>99683602.21049997</v>
      </c>
      <c r="K111" s="65">
        <f>K75-K88</f>
        <v>0</v>
      </c>
      <c r="L111" s="325">
        <f>SUM(L75-L88)</f>
        <v>99683602.21049997</v>
      </c>
      <c r="M111" s="67">
        <f>SUM(M75-M88)</f>
        <v>90397307</v>
      </c>
      <c r="N111" s="65"/>
      <c r="O111" s="52">
        <f aca="true" t="shared" si="23" ref="O111:O122">+ROUND(L111/1000,0)+U111</f>
        <v>99684</v>
      </c>
      <c r="P111" s="65">
        <f>SUM(P75-P88)</f>
        <v>90398</v>
      </c>
      <c r="Q111" s="65"/>
      <c r="R111" s="65"/>
      <c r="S111" s="75">
        <f>+ROUND(L111/1000,0)</f>
        <v>99684</v>
      </c>
      <c r="T111" s="75">
        <f>+ROUND(M111/1000,0)</f>
        <v>90397</v>
      </c>
      <c r="U111" s="65"/>
      <c r="V111" s="65"/>
    </row>
    <row r="112" spans="1:44" ht="15">
      <c r="A112" s="321" t="s">
        <v>255</v>
      </c>
      <c r="B112" s="72">
        <v>2</v>
      </c>
      <c r="C112" s="351">
        <v>0</v>
      </c>
      <c r="D112" s="352">
        <f>+'ACC-DMSB'!J72</f>
        <v>22500000</v>
      </c>
      <c r="E112" s="325">
        <f>+'[3]Notes'!D26</f>
        <v>0</v>
      </c>
      <c r="F112" s="352">
        <v>0</v>
      </c>
      <c r="G112" s="66"/>
      <c r="H112" s="325">
        <f>G112*F112</f>
        <v>0</v>
      </c>
      <c r="I112" s="87">
        <v>0</v>
      </c>
      <c r="J112" s="325">
        <f aca="true" t="shared" si="24" ref="J112:J122">+C112+D112+E112+H112+I112</f>
        <v>22500000</v>
      </c>
      <c r="K112" s="65">
        <f>AR112</f>
        <v>0</v>
      </c>
      <c r="L112" s="325">
        <f aca="true" t="shared" si="25" ref="L112:L119">SUM(J112:K112)</f>
        <v>22500000</v>
      </c>
      <c r="M112" s="67">
        <v>25610291</v>
      </c>
      <c r="N112" s="65"/>
      <c r="O112" s="52">
        <f t="shared" si="23"/>
        <v>22500</v>
      </c>
      <c r="P112" s="52">
        <f aca="true" t="shared" si="26" ref="P112:P122">+ROUND(M112/1000,0)</f>
        <v>25610</v>
      </c>
      <c r="S112" s="75">
        <f aca="true" t="shared" si="27" ref="S112:S123">+ROUND(L112/1000,0)</f>
        <v>22500</v>
      </c>
      <c r="T112" s="75">
        <f aca="true" t="shared" si="28" ref="T112:T123">+ROUND(M112/1000,0)</f>
        <v>25610</v>
      </c>
      <c r="AR112" s="52">
        <f>SUM(W112:AQ112)</f>
        <v>0</v>
      </c>
    </row>
    <row r="113" spans="1:44" ht="15">
      <c r="A113" s="321" t="s">
        <v>256</v>
      </c>
      <c r="B113" s="72"/>
      <c r="C113" s="325">
        <v>244212</v>
      </c>
      <c r="D113" s="329">
        <f>+'ACC-DMSB'!J71</f>
        <v>61922908</v>
      </c>
      <c r="E113" s="325">
        <v>0</v>
      </c>
      <c r="F113" s="329">
        <v>0</v>
      </c>
      <c r="G113" s="66"/>
      <c r="H113" s="325">
        <f>G113*F113</f>
        <v>0</v>
      </c>
      <c r="I113" s="65">
        <v>0</v>
      </c>
      <c r="J113" s="325">
        <f t="shared" si="24"/>
        <v>62167120</v>
      </c>
      <c r="K113" s="65">
        <f>AR113</f>
        <v>0</v>
      </c>
      <c r="L113" s="325">
        <f t="shared" si="25"/>
        <v>62167120</v>
      </c>
      <c r="M113" s="67">
        <v>61880916</v>
      </c>
      <c r="N113" s="65"/>
      <c r="O113" s="52">
        <f t="shared" si="23"/>
        <v>62167</v>
      </c>
      <c r="P113" s="52">
        <f t="shared" si="26"/>
        <v>61881</v>
      </c>
      <c r="S113" s="75">
        <f t="shared" si="27"/>
        <v>62167</v>
      </c>
      <c r="T113" s="75">
        <f t="shared" si="28"/>
        <v>61881</v>
      </c>
      <c r="AR113" s="52">
        <f aca="true" t="shared" si="29" ref="AR113:AR122">SUM(W113:AQ113)</f>
        <v>0</v>
      </c>
    </row>
    <row r="114" spans="1:44" ht="15">
      <c r="A114" s="364" t="s">
        <v>257</v>
      </c>
      <c r="B114" s="365">
        <v>6</v>
      </c>
      <c r="C114" s="351">
        <v>13445217</v>
      </c>
      <c r="D114" s="501">
        <v>0</v>
      </c>
      <c r="E114" s="351">
        <f>'[3]Notes'!D55</f>
        <v>0</v>
      </c>
      <c r="F114" s="352">
        <v>20397126</v>
      </c>
      <c r="G114" s="366">
        <v>1.951</v>
      </c>
      <c r="H114" s="351">
        <f>F114*G114</f>
        <v>39794792.826000005</v>
      </c>
      <c r="I114" s="87">
        <v>0</v>
      </c>
      <c r="J114" s="351">
        <f t="shared" si="24"/>
        <v>53240009.826000005</v>
      </c>
      <c r="K114" s="87">
        <f>AR114</f>
        <v>-47294.55390749988</v>
      </c>
      <c r="L114" s="351">
        <f t="shared" si="25"/>
        <v>53192715.27209251</v>
      </c>
      <c r="M114" s="367">
        <v>53846120</v>
      </c>
      <c r="N114" s="65"/>
      <c r="O114" s="52">
        <f t="shared" si="23"/>
        <v>53193</v>
      </c>
      <c r="P114" s="52">
        <f t="shared" si="26"/>
        <v>53846</v>
      </c>
      <c r="S114" s="75">
        <f t="shared" si="27"/>
        <v>53193</v>
      </c>
      <c r="T114" s="75">
        <f t="shared" si="28"/>
        <v>53846</v>
      </c>
      <c r="AD114" s="52">
        <f>+MBMI!E132</f>
        <v>-575773.87362</v>
      </c>
      <c r="AE114" s="52">
        <v>0</v>
      </c>
      <c r="AF114" s="52">
        <v>0</v>
      </c>
      <c r="AG114" s="52">
        <v>0</v>
      </c>
      <c r="AL114" s="52">
        <f>+CMC!D41</f>
        <v>528479.3197125001</v>
      </c>
      <c r="AR114" s="52">
        <f t="shared" si="29"/>
        <v>-47294.55390749988</v>
      </c>
    </row>
    <row r="115" spans="1:44" ht="15">
      <c r="A115" s="321" t="s">
        <v>258</v>
      </c>
      <c r="B115" s="72"/>
      <c r="C115" s="325">
        <v>0</v>
      </c>
      <c r="D115" s="329">
        <f>+'ACC-DMSB'!J73</f>
        <v>7000000</v>
      </c>
      <c r="E115" s="325"/>
      <c r="F115" s="329">
        <v>0</v>
      </c>
      <c r="G115" s="66"/>
      <c r="H115" s="325">
        <v>0</v>
      </c>
      <c r="I115" s="65">
        <v>0</v>
      </c>
      <c r="J115" s="325">
        <f t="shared" si="24"/>
        <v>7000000</v>
      </c>
      <c r="K115" s="65">
        <f aca="true" t="shared" si="30" ref="K115:K122">AR115</f>
        <v>0</v>
      </c>
      <c r="L115" s="325">
        <f t="shared" si="25"/>
        <v>7000000</v>
      </c>
      <c r="M115" s="67">
        <v>7000000</v>
      </c>
      <c r="N115" s="65"/>
      <c r="O115" s="52">
        <f t="shared" si="23"/>
        <v>7000</v>
      </c>
      <c r="P115" s="52">
        <f t="shared" si="26"/>
        <v>7000</v>
      </c>
      <c r="S115" s="75">
        <f t="shared" si="27"/>
        <v>7000</v>
      </c>
      <c r="T115" s="75">
        <f t="shared" si="28"/>
        <v>7000</v>
      </c>
      <c r="AR115" s="52">
        <f t="shared" si="29"/>
        <v>0</v>
      </c>
    </row>
    <row r="116" spans="1:44" ht="15">
      <c r="A116" s="321" t="s">
        <v>259</v>
      </c>
      <c r="B116" s="72"/>
      <c r="C116" s="325">
        <f>74769207-20282551</f>
        <v>54486656</v>
      </c>
      <c r="D116" s="329">
        <v>0</v>
      </c>
      <c r="E116" s="325"/>
      <c r="F116" s="329">
        <v>0</v>
      </c>
      <c r="G116" s="66"/>
      <c r="H116" s="325">
        <v>0</v>
      </c>
      <c r="I116" s="65">
        <v>6262</v>
      </c>
      <c r="J116" s="325">
        <f t="shared" si="24"/>
        <v>54492918</v>
      </c>
      <c r="K116" s="65">
        <f t="shared" si="30"/>
        <v>-54492918</v>
      </c>
      <c r="L116" s="325">
        <f t="shared" si="25"/>
        <v>0</v>
      </c>
      <c r="M116" s="67">
        <v>0</v>
      </c>
      <c r="N116" s="65"/>
      <c r="O116" s="52">
        <f t="shared" si="23"/>
        <v>0</v>
      </c>
      <c r="P116" s="52">
        <f t="shared" si="26"/>
        <v>0</v>
      </c>
      <c r="S116" s="75">
        <f t="shared" si="27"/>
        <v>0</v>
      </c>
      <c r="T116" s="75">
        <f t="shared" si="28"/>
        <v>0</v>
      </c>
      <c r="W116" s="52">
        <v>-54480394</v>
      </c>
      <c r="AI116" s="52">
        <v>-6262</v>
      </c>
      <c r="AJ116" s="52">
        <v>-6262</v>
      </c>
      <c r="AR116" s="52">
        <f t="shared" si="29"/>
        <v>-54492918</v>
      </c>
    </row>
    <row r="117" spans="1:44" ht="15">
      <c r="A117" s="321" t="s">
        <v>260</v>
      </c>
      <c r="B117" s="72">
        <v>7</v>
      </c>
      <c r="C117" s="325">
        <v>0</v>
      </c>
      <c r="D117" s="329">
        <v>0</v>
      </c>
      <c r="E117" s="325"/>
      <c r="F117" s="329">
        <v>0</v>
      </c>
      <c r="G117" s="66"/>
      <c r="H117" s="325">
        <v>0</v>
      </c>
      <c r="I117" s="65">
        <v>0</v>
      </c>
      <c r="J117" s="325">
        <f t="shared" si="24"/>
        <v>0</v>
      </c>
      <c r="K117" s="65">
        <f t="shared" si="30"/>
        <v>11018</v>
      </c>
      <c r="L117" s="325">
        <f t="shared" si="25"/>
        <v>11018</v>
      </c>
      <c r="M117" s="67">
        <v>11018</v>
      </c>
      <c r="N117" s="65"/>
      <c r="O117" s="52">
        <f t="shared" si="23"/>
        <v>11</v>
      </c>
      <c r="P117" s="52">
        <f t="shared" si="26"/>
        <v>11</v>
      </c>
      <c r="S117" s="75">
        <f t="shared" si="27"/>
        <v>11</v>
      </c>
      <c r="T117" s="75">
        <f t="shared" si="28"/>
        <v>11</v>
      </c>
      <c r="AI117" s="52">
        <v>6259</v>
      </c>
      <c r="AJ117" s="52">
        <v>6259</v>
      </c>
      <c r="AK117" s="52">
        <f>-'[3]AS'!D24</f>
        <v>-1500</v>
      </c>
      <c r="AR117" s="52">
        <f t="shared" si="29"/>
        <v>11018</v>
      </c>
    </row>
    <row r="118" spans="1:44" ht="15">
      <c r="A118" s="321" t="s">
        <v>261</v>
      </c>
      <c r="B118" s="72">
        <v>8</v>
      </c>
      <c r="C118" s="325">
        <f>+'[3]Notes'!B67</f>
        <v>0</v>
      </c>
      <c r="D118" s="329">
        <f>+'ACC-DMSB'!J75</f>
        <v>-30000000</v>
      </c>
      <c r="E118" s="325">
        <f>+'[3]Notes'!D67</f>
        <v>0</v>
      </c>
      <c r="F118" s="329">
        <v>-4810000</v>
      </c>
      <c r="G118" s="66"/>
      <c r="H118" s="325">
        <v>-9384310</v>
      </c>
      <c r="I118" s="65">
        <f>+'[3]Notes'!H67</f>
        <v>0</v>
      </c>
      <c r="J118" s="325">
        <f t="shared" si="24"/>
        <v>-39384310</v>
      </c>
      <c r="K118" s="65">
        <f>-J85</f>
        <v>0</v>
      </c>
      <c r="L118" s="325">
        <f t="shared" si="25"/>
        <v>-39384310</v>
      </c>
      <c r="M118" s="67">
        <v>-39384310</v>
      </c>
      <c r="N118" s="65"/>
      <c r="O118" s="52">
        <f t="shared" si="23"/>
        <v>-39384</v>
      </c>
      <c r="P118" s="52">
        <f t="shared" si="26"/>
        <v>-39384</v>
      </c>
      <c r="S118" s="75">
        <f t="shared" si="27"/>
        <v>-39384</v>
      </c>
      <c r="T118" s="75">
        <f t="shared" si="28"/>
        <v>-39384</v>
      </c>
      <c r="AR118" s="52">
        <f t="shared" si="29"/>
        <v>0</v>
      </c>
    </row>
    <row r="119" spans="1:44" ht="15">
      <c r="A119" s="321" t="s">
        <v>262</v>
      </c>
      <c r="B119" s="72"/>
      <c r="C119" s="325">
        <v>0</v>
      </c>
      <c r="D119" s="329">
        <f>+'ACC-DMSB'!J77</f>
        <v>0</v>
      </c>
      <c r="E119" s="325"/>
      <c r="F119" s="329">
        <v>0</v>
      </c>
      <c r="G119" s="66"/>
      <c r="H119" s="325">
        <v>0</v>
      </c>
      <c r="I119" s="65">
        <v>0</v>
      </c>
      <c r="J119" s="325">
        <f t="shared" si="24"/>
        <v>0</v>
      </c>
      <c r="K119" s="65">
        <f t="shared" si="30"/>
        <v>0</v>
      </c>
      <c r="L119" s="325">
        <f t="shared" si="25"/>
        <v>0</v>
      </c>
      <c r="M119" s="67">
        <v>-215369</v>
      </c>
      <c r="N119" s="65"/>
      <c r="O119" s="52">
        <f t="shared" si="23"/>
        <v>0</v>
      </c>
      <c r="P119" s="52">
        <f t="shared" si="26"/>
        <v>-215</v>
      </c>
      <c r="S119" s="75">
        <f t="shared" si="27"/>
        <v>0</v>
      </c>
      <c r="T119" s="75">
        <f t="shared" si="28"/>
        <v>-215</v>
      </c>
      <c r="AR119" s="52">
        <f t="shared" si="29"/>
        <v>0</v>
      </c>
    </row>
    <row r="120" spans="1:44" ht="15">
      <c r="A120" s="321" t="s">
        <v>263</v>
      </c>
      <c r="B120" s="72">
        <v>9</v>
      </c>
      <c r="C120" s="325">
        <v>0</v>
      </c>
      <c r="D120" s="329">
        <v>0</v>
      </c>
      <c r="E120" s="325"/>
      <c r="F120" s="329">
        <v>0</v>
      </c>
      <c r="G120" s="66"/>
      <c r="H120" s="325">
        <v>0</v>
      </c>
      <c r="I120" s="65">
        <v>0</v>
      </c>
      <c r="J120" s="325">
        <f t="shared" si="24"/>
        <v>0</v>
      </c>
      <c r="K120" s="65">
        <f t="shared" si="30"/>
        <v>0</v>
      </c>
      <c r="L120" s="325">
        <f>SUM(J120)</f>
        <v>0</v>
      </c>
      <c r="M120" s="67"/>
      <c r="N120" s="65"/>
      <c r="O120" s="52">
        <f t="shared" si="23"/>
        <v>0</v>
      </c>
      <c r="P120" s="52">
        <f t="shared" si="26"/>
        <v>0</v>
      </c>
      <c r="S120" s="75">
        <f t="shared" si="27"/>
        <v>0</v>
      </c>
      <c r="T120" s="75">
        <f t="shared" si="28"/>
        <v>0</v>
      </c>
      <c r="AR120" s="52">
        <f t="shared" si="29"/>
        <v>0</v>
      </c>
    </row>
    <row r="121" spans="1:44" ht="15">
      <c r="A121" s="321" t="s">
        <v>264</v>
      </c>
      <c r="B121" s="72"/>
      <c r="C121" s="325">
        <v>0</v>
      </c>
      <c r="D121" s="329">
        <v>0</v>
      </c>
      <c r="E121" s="325"/>
      <c r="F121" s="329">
        <v>0</v>
      </c>
      <c r="G121" s="66"/>
      <c r="H121" s="325">
        <v>0</v>
      </c>
      <c r="I121" s="65">
        <v>0</v>
      </c>
      <c r="J121" s="325">
        <f t="shared" si="24"/>
        <v>0</v>
      </c>
      <c r="K121" s="65">
        <f t="shared" si="30"/>
        <v>-45289091.09</v>
      </c>
      <c r="L121" s="325">
        <f>SUM(J121:K121)</f>
        <v>-45289091.09</v>
      </c>
      <c r="M121" s="67">
        <v>-43599383</v>
      </c>
      <c r="N121" s="65"/>
      <c r="O121" s="52">
        <f t="shared" si="23"/>
        <v>-45289</v>
      </c>
      <c r="P121" s="52">
        <f t="shared" si="26"/>
        <v>-43599</v>
      </c>
      <c r="S121" s="75">
        <f t="shared" si="27"/>
        <v>-45289</v>
      </c>
      <c r="T121" s="75">
        <f t="shared" si="28"/>
        <v>-43599</v>
      </c>
      <c r="W121" s="52">
        <v>-27109099</v>
      </c>
      <c r="Y121" s="52">
        <f>-DMSB!D46</f>
        <v>-18179992.09</v>
      </c>
      <c r="Z121" s="52">
        <v>0</v>
      </c>
      <c r="AG121" s="52">
        <f>'[3]MBMI'!D60</f>
        <v>0</v>
      </c>
      <c r="AR121" s="52">
        <f t="shared" si="29"/>
        <v>-45289091.09</v>
      </c>
    </row>
    <row r="122" spans="1:44" ht="15">
      <c r="A122" s="321" t="s">
        <v>265</v>
      </c>
      <c r="B122" s="72"/>
      <c r="C122" s="325">
        <v>0</v>
      </c>
      <c r="D122" s="329">
        <v>0</v>
      </c>
      <c r="E122" s="325"/>
      <c r="F122" s="329">
        <v>0</v>
      </c>
      <c r="G122" s="84"/>
      <c r="H122" s="325">
        <f>F122*G122</f>
        <v>0</v>
      </c>
      <c r="I122" s="65">
        <v>0</v>
      </c>
      <c r="J122" s="325">
        <f t="shared" si="24"/>
        <v>0</v>
      </c>
      <c r="K122" s="65">
        <f t="shared" si="30"/>
        <v>0</v>
      </c>
      <c r="L122" s="325">
        <f>SUM(J122:K122)</f>
        <v>0</v>
      </c>
      <c r="M122" s="67">
        <v>0</v>
      </c>
      <c r="N122" s="65"/>
      <c r="O122" s="52">
        <f t="shared" si="23"/>
        <v>0</v>
      </c>
      <c r="P122" s="76">
        <f t="shared" si="26"/>
        <v>0</v>
      </c>
      <c r="Q122" s="75"/>
      <c r="R122" s="75"/>
      <c r="S122" s="75">
        <f t="shared" si="27"/>
        <v>0</v>
      </c>
      <c r="T122" s="75">
        <f t="shared" si="28"/>
        <v>0</v>
      </c>
      <c r="U122" s="75"/>
      <c r="V122" s="75"/>
      <c r="AR122" s="52">
        <f t="shared" si="29"/>
        <v>0</v>
      </c>
    </row>
    <row r="123" spans="1:22" ht="15.75" thickBot="1">
      <c r="A123" s="321"/>
      <c r="B123" s="72"/>
      <c r="C123" s="326">
        <f aca="true" t="shared" si="31" ref="C123:I123">SUM(C111:C122)</f>
        <v>105273551</v>
      </c>
      <c r="D123" s="331">
        <f t="shared" si="31"/>
        <v>151888038</v>
      </c>
      <c r="E123" s="326">
        <f t="shared" si="31"/>
        <v>0</v>
      </c>
      <c r="F123" s="331">
        <f t="shared" si="31"/>
        <v>55235</v>
      </c>
      <c r="G123" s="335"/>
      <c r="H123" s="326">
        <f t="shared" si="31"/>
        <v>116114.03650000691</v>
      </c>
      <c r="I123" s="77">
        <f t="shared" si="31"/>
        <v>2421635</v>
      </c>
      <c r="J123" s="326">
        <f>SUM(J111:J122)</f>
        <v>259699340.03649998</v>
      </c>
      <c r="K123" s="77">
        <f>SUM(K111:K122)</f>
        <v>-99818285.6439075</v>
      </c>
      <c r="L123" s="326">
        <f>SUM(L111:L122)</f>
        <v>159881054.39259246</v>
      </c>
      <c r="M123" s="78">
        <f>SUM(M111:M122)</f>
        <v>155546590</v>
      </c>
      <c r="N123" s="77"/>
      <c r="O123" s="79">
        <f>SUM(O111:O122)</f>
        <v>159882</v>
      </c>
      <c r="P123" s="79">
        <f>SUM(P111:P122)</f>
        <v>155548</v>
      </c>
      <c r="Q123" s="75"/>
      <c r="R123" s="341"/>
      <c r="S123" s="79">
        <f t="shared" si="27"/>
        <v>159881</v>
      </c>
      <c r="T123" s="79">
        <f t="shared" si="28"/>
        <v>155547</v>
      </c>
      <c r="U123" s="75"/>
      <c r="V123" s="75"/>
    </row>
    <row r="124" spans="1:22" ht="15.75" thickTop="1">
      <c r="A124" s="321"/>
      <c r="B124" s="72"/>
      <c r="C124" s="325"/>
      <c r="D124" s="329"/>
      <c r="E124" s="325"/>
      <c r="F124" s="329"/>
      <c r="G124" s="66"/>
      <c r="H124" s="325"/>
      <c r="I124" s="65"/>
      <c r="J124" s="325"/>
      <c r="K124" s="65"/>
      <c r="L124" s="325"/>
      <c r="M124" s="67"/>
      <c r="N124" s="65"/>
      <c r="O124" s="75"/>
      <c r="P124" s="75"/>
      <c r="Q124" s="75"/>
      <c r="R124" s="75"/>
      <c r="S124" s="75"/>
      <c r="T124" s="75"/>
      <c r="U124" s="75"/>
      <c r="V124" s="75"/>
    </row>
    <row r="125" spans="1:22" ht="15">
      <c r="A125" s="321"/>
      <c r="B125" s="72"/>
      <c r="C125" s="325"/>
      <c r="D125" s="329"/>
      <c r="E125" s="325"/>
      <c r="F125" s="329"/>
      <c r="G125" s="66"/>
      <c r="H125" s="325"/>
      <c r="I125" s="65"/>
      <c r="J125" s="325"/>
      <c r="K125" s="65"/>
      <c r="L125" s="325"/>
      <c r="M125" s="67"/>
      <c r="N125" s="65"/>
      <c r="O125" s="75"/>
      <c r="P125" s="75"/>
      <c r="Q125" s="75"/>
      <c r="R125" s="75"/>
      <c r="S125" s="75"/>
      <c r="T125" s="75"/>
      <c r="U125" s="75"/>
      <c r="V125" s="75"/>
    </row>
    <row r="126" spans="1:16" ht="15">
      <c r="A126" s="357" t="s">
        <v>266</v>
      </c>
      <c r="B126" s="72"/>
      <c r="C126" s="325"/>
      <c r="D126" s="329"/>
      <c r="E126" s="327"/>
      <c r="F126" s="341"/>
      <c r="H126" s="327"/>
      <c r="I126" s="327"/>
      <c r="J126" s="327"/>
      <c r="K126" s="327"/>
      <c r="L126" s="327"/>
      <c r="M126" s="327"/>
      <c r="N126" s="75"/>
      <c r="O126" s="52">
        <f>+ROUND(L126/1000,0)</f>
        <v>0</v>
      </c>
      <c r="P126" s="52">
        <f>+ROUND(M126/1000,0)</f>
        <v>0</v>
      </c>
    </row>
    <row r="127" spans="1:44" ht="15">
      <c r="A127" s="356" t="s">
        <v>267</v>
      </c>
      <c r="B127" s="72"/>
      <c r="C127" s="325">
        <v>75000000</v>
      </c>
      <c r="D127" s="329">
        <v>20000000</v>
      </c>
      <c r="E127" s="325"/>
      <c r="F127" s="329">
        <v>1</v>
      </c>
      <c r="G127" s="66"/>
      <c r="H127" s="325">
        <v>3</v>
      </c>
      <c r="I127" s="327">
        <v>3</v>
      </c>
      <c r="J127" s="325">
        <f>+C127+D127+E127+H127+I127</f>
        <v>95000006</v>
      </c>
      <c r="K127" s="325">
        <f>-AR127</f>
        <v>-20000006</v>
      </c>
      <c r="L127" s="325">
        <f>SUM(J127:K127)</f>
        <v>75000000</v>
      </c>
      <c r="M127" s="325">
        <v>75000000</v>
      </c>
      <c r="N127" s="65"/>
      <c r="O127" s="52">
        <f>+ROUND(L127/1000,0)+U127</f>
        <v>75000</v>
      </c>
      <c r="P127" s="52">
        <f>+ROUND(M127/1000,0)</f>
        <v>75000</v>
      </c>
      <c r="S127" s="75">
        <f aca="true" t="shared" si="32" ref="S127:T134">+ROUND(L127/1000,0)</f>
        <v>75000</v>
      </c>
      <c r="T127" s="75">
        <f t="shared" si="32"/>
        <v>75000</v>
      </c>
      <c r="W127" s="52">
        <v>20000000</v>
      </c>
      <c r="AI127" s="52">
        <v>3</v>
      </c>
      <c r="AJ127" s="52">
        <v>3</v>
      </c>
      <c r="AR127" s="52">
        <f aca="true" t="shared" si="33" ref="AR127:AR133">SUM(W127:AQ127)</f>
        <v>20000006</v>
      </c>
    </row>
    <row r="128" spans="1:54" ht="15">
      <c r="A128" s="327" t="s">
        <v>268</v>
      </c>
      <c r="B128" s="52"/>
      <c r="C128" s="327">
        <v>0</v>
      </c>
      <c r="D128" s="341">
        <v>0</v>
      </c>
      <c r="E128" s="327">
        <v>0</v>
      </c>
      <c r="F128" s="341">
        <v>0</v>
      </c>
      <c r="G128" s="53">
        <v>0</v>
      </c>
      <c r="H128" s="327">
        <f>SUM(B128:G128)-SUM(E128:E128)</f>
        <v>0</v>
      </c>
      <c r="I128" s="327"/>
      <c r="J128" s="325">
        <f>+C128+D128+E128+H128+I128</f>
        <v>0</v>
      </c>
      <c r="K128" s="327">
        <f>-AR128</f>
        <v>13515104</v>
      </c>
      <c r="L128" s="327">
        <f>SUM(J128:K128)</f>
        <v>13515104</v>
      </c>
      <c r="M128" s="327">
        <v>13515104</v>
      </c>
      <c r="N128" s="75"/>
      <c r="O128" s="52">
        <f>+ROUND(L128/1000,0)+U128</f>
        <v>13515</v>
      </c>
      <c r="P128" s="52">
        <f>+ROUND(M128/1000,0)</f>
        <v>13515</v>
      </c>
      <c r="S128" s="75">
        <f t="shared" si="32"/>
        <v>13515</v>
      </c>
      <c r="T128" s="75">
        <f t="shared" si="32"/>
        <v>13515</v>
      </c>
      <c r="W128" s="52">
        <v>-13515104</v>
      </c>
      <c r="AR128" s="52">
        <f t="shared" si="33"/>
        <v>-13515104</v>
      </c>
      <c r="AW128" s="54"/>
      <c r="AX128" s="54"/>
      <c r="AY128" s="54"/>
      <c r="AZ128" s="54"/>
      <c r="BA128" s="54"/>
      <c r="BB128" s="54"/>
    </row>
    <row r="129" spans="1:54" ht="15">
      <c r="A129" s="327" t="s">
        <v>269</v>
      </c>
      <c r="B129" s="75"/>
      <c r="C129" s="354">
        <v>0</v>
      </c>
      <c r="D129" s="355">
        <v>0</v>
      </c>
      <c r="E129" s="354">
        <v>0</v>
      </c>
      <c r="F129" s="355">
        <v>0</v>
      </c>
      <c r="G129" s="88">
        <v>0</v>
      </c>
      <c r="H129" s="354">
        <f>SUM(B129:G129)-SUM(E129:E129)</f>
        <v>0</v>
      </c>
      <c r="I129" s="354">
        <v>0</v>
      </c>
      <c r="J129" s="328">
        <f>+C129+D129+E129+H129+I129</f>
        <v>0</v>
      </c>
      <c r="K129" s="354">
        <f>-AR129</f>
        <v>-3378775.04</v>
      </c>
      <c r="L129" s="354">
        <f>SUM(J129:K129)</f>
        <v>-3378775.04</v>
      </c>
      <c r="M129" s="354">
        <v>-3243624</v>
      </c>
      <c r="N129" s="76"/>
      <c r="O129" s="76">
        <f>+ROUND(L129/1000,0)+U129</f>
        <v>-3379</v>
      </c>
      <c r="P129" s="76">
        <f>+ROUND(M129/1000,0)</f>
        <v>-3244</v>
      </c>
      <c r="Q129" s="75"/>
      <c r="R129" s="75"/>
      <c r="S129" s="75">
        <f t="shared" si="32"/>
        <v>-3379</v>
      </c>
      <c r="T129" s="75">
        <f t="shared" si="32"/>
        <v>-3244</v>
      </c>
      <c r="U129" s="75"/>
      <c r="V129" s="75"/>
      <c r="X129" s="52">
        <f>+DMSB!C37</f>
        <v>3378775.04</v>
      </c>
      <c r="AR129" s="52">
        <f t="shared" si="33"/>
        <v>3378775.04</v>
      </c>
      <c r="AW129" s="54"/>
      <c r="AX129" s="54"/>
      <c r="AY129" s="54"/>
      <c r="AZ129" s="54"/>
      <c r="BA129" s="54"/>
      <c r="BB129" s="54"/>
    </row>
    <row r="130" spans="1:54" ht="15">
      <c r="A130" s="327" t="s">
        <v>270</v>
      </c>
      <c r="B130" s="52"/>
      <c r="C130" s="327">
        <f aca="true" t="shared" si="34" ref="C130:I130">SUM(C127:C129)</f>
        <v>75000000</v>
      </c>
      <c r="D130" s="341">
        <f t="shared" si="34"/>
        <v>20000000</v>
      </c>
      <c r="E130" s="327">
        <f t="shared" si="34"/>
        <v>0</v>
      </c>
      <c r="F130" s="341">
        <f t="shared" si="34"/>
        <v>1</v>
      </c>
      <c r="G130" s="53">
        <f t="shared" si="34"/>
        <v>0</v>
      </c>
      <c r="H130" s="327">
        <f t="shared" si="34"/>
        <v>3</v>
      </c>
      <c r="I130" s="327">
        <f t="shared" si="34"/>
        <v>3</v>
      </c>
      <c r="J130" s="327">
        <f>SUM(J127:J129)</f>
        <v>95000006</v>
      </c>
      <c r="K130" s="327">
        <f>SUM(K127:K129)</f>
        <v>-9863677.04</v>
      </c>
      <c r="L130" s="327">
        <f>SUM(L127:L129)</f>
        <v>85136328.96</v>
      </c>
      <c r="M130" s="327">
        <f>SUM(M127:M129)</f>
        <v>85271480</v>
      </c>
      <c r="N130" s="75"/>
      <c r="O130" s="52">
        <f>SUM(O127:O129)</f>
        <v>85136</v>
      </c>
      <c r="P130" s="52">
        <f>SUM(P127:P129)</f>
        <v>85271</v>
      </c>
      <c r="S130" s="75">
        <f t="shared" si="32"/>
        <v>85136</v>
      </c>
      <c r="T130" s="75">
        <f t="shared" si="32"/>
        <v>85271</v>
      </c>
      <c r="AR130" s="52">
        <f t="shared" si="33"/>
        <v>0</v>
      </c>
      <c r="AW130" s="54"/>
      <c r="AX130" s="54"/>
      <c r="AY130" s="54"/>
      <c r="AZ130" s="54"/>
      <c r="BA130" s="54"/>
      <c r="BB130" s="54"/>
    </row>
    <row r="131" spans="1:54" ht="15">
      <c r="A131" s="327" t="s">
        <v>271</v>
      </c>
      <c r="B131" s="52"/>
      <c r="C131" s="327">
        <v>12720320</v>
      </c>
      <c r="D131" s="341">
        <v>0</v>
      </c>
      <c r="E131" s="327">
        <v>0</v>
      </c>
      <c r="F131" s="341"/>
      <c r="G131" s="53">
        <v>0</v>
      </c>
      <c r="H131" s="327"/>
      <c r="I131" s="327">
        <v>0</v>
      </c>
      <c r="J131" s="325">
        <f>+C131+D131+E131+H131+I131</f>
        <v>12720320</v>
      </c>
      <c r="K131" s="327">
        <f>AR131</f>
        <v>0</v>
      </c>
      <c r="L131" s="327">
        <f>SUM(J131:K131)</f>
        <v>12720320</v>
      </c>
      <c r="M131" s="327">
        <v>12720320</v>
      </c>
      <c r="N131" s="75"/>
      <c r="O131" s="52">
        <f>+ROUND(L131/1000,0)+U131</f>
        <v>12720</v>
      </c>
      <c r="P131" s="52">
        <f>+ROUND(M131/1000,0)</f>
        <v>12720</v>
      </c>
      <c r="S131" s="75">
        <f t="shared" si="32"/>
        <v>12720</v>
      </c>
      <c r="T131" s="75">
        <f t="shared" si="32"/>
        <v>12720</v>
      </c>
      <c r="AR131" s="52">
        <f t="shared" si="33"/>
        <v>0</v>
      </c>
      <c r="AW131" s="54"/>
      <c r="AX131" s="54"/>
      <c r="AY131" s="54"/>
      <c r="AZ131" s="54"/>
      <c r="BA131" s="54"/>
      <c r="BB131" s="54"/>
    </row>
    <row r="132" spans="1:54" ht="15">
      <c r="A132" s="327" t="s">
        <v>272</v>
      </c>
      <c r="B132" s="52"/>
      <c r="C132" s="327">
        <v>0</v>
      </c>
      <c r="D132" s="341">
        <v>0</v>
      </c>
      <c r="E132" s="327">
        <v>0</v>
      </c>
      <c r="F132" s="341"/>
      <c r="G132" s="53">
        <v>0</v>
      </c>
      <c r="H132" s="327">
        <v>14011</v>
      </c>
      <c r="I132" s="327">
        <v>0</v>
      </c>
      <c r="J132" s="325">
        <f>+C132+D132+E132+H132+I132</f>
        <v>14011</v>
      </c>
      <c r="K132" s="327">
        <v>51403</v>
      </c>
      <c r="L132" s="327">
        <f>SUM(J132:K132)</f>
        <v>65414</v>
      </c>
      <c r="M132" s="327">
        <v>-3736</v>
      </c>
      <c r="N132" s="75"/>
      <c r="O132" s="52">
        <f>+ROUND(L132/1000,0)+U132</f>
        <v>65</v>
      </c>
      <c r="P132" s="52">
        <f>+ROUND(M132/1000,0)</f>
        <v>-4</v>
      </c>
      <c r="S132" s="75">
        <f t="shared" si="32"/>
        <v>65</v>
      </c>
      <c r="T132" s="75">
        <f t="shared" si="32"/>
        <v>-4</v>
      </c>
      <c r="AR132" s="52">
        <f t="shared" si="33"/>
        <v>0</v>
      </c>
      <c r="AW132" s="54"/>
      <c r="AX132" s="54"/>
      <c r="AY132" s="54"/>
      <c r="AZ132" s="54"/>
      <c r="BA132" s="54"/>
      <c r="BB132" s="54"/>
    </row>
    <row r="133" spans="1:44" ht="15">
      <c r="A133" s="356" t="s">
        <v>273</v>
      </c>
      <c r="B133" s="72"/>
      <c r="C133" s="328">
        <f>C47</f>
        <v>17553231</v>
      </c>
      <c r="D133" s="332">
        <f>+'ACC-DMSB'!J83</f>
        <v>131888038</v>
      </c>
      <c r="E133" s="325">
        <f>E47</f>
        <v>0</v>
      </c>
      <c r="F133" s="332">
        <f>F47</f>
        <v>55234</v>
      </c>
      <c r="G133" s="91"/>
      <c r="H133" s="328">
        <f>H47</f>
        <v>102100.25600000005</v>
      </c>
      <c r="I133" s="328">
        <f>I47</f>
        <v>2421632</v>
      </c>
      <c r="J133" s="328">
        <f>+J47</f>
        <v>151965003.256</v>
      </c>
      <c r="K133" s="328">
        <f>K47</f>
        <v>-90006012.2704075</v>
      </c>
      <c r="L133" s="328">
        <f>L47</f>
        <v>61958990.9855925</v>
      </c>
      <c r="M133" s="328">
        <f>+M47</f>
        <v>57558526</v>
      </c>
      <c r="N133" s="65"/>
      <c r="O133" s="52">
        <f>+ROUND(L133/1000,0)+U133</f>
        <v>61959</v>
      </c>
      <c r="P133" s="76">
        <f>+ROUND(M133/1000,0)</f>
        <v>57559</v>
      </c>
      <c r="Q133" s="75"/>
      <c r="R133" s="75"/>
      <c r="S133" s="75">
        <f t="shared" si="32"/>
        <v>61959</v>
      </c>
      <c r="T133" s="75">
        <f t="shared" si="32"/>
        <v>57559</v>
      </c>
      <c r="U133" s="75"/>
      <c r="V133" s="75"/>
      <c r="AR133" s="52">
        <f t="shared" si="33"/>
        <v>0</v>
      </c>
    </row>
    <row r="134" spans="1:44" ht="15.75" thickBot="1">
      <c r="A134" s="356"/>
      <c r="B134" s="72"/>
      <c r="C134" s="326">
        <f>SUM(C130:C133)</f>
        <v>105273551</v>
      </c>
      <c r="D134" s="77">
        <f>SUM(D130:D133)</f>
        <v>151888038</v>
      </c>
      <c r="E134" s="326">
        <f>SUM(E130:E133)</f>
        <v>0</v>
      </c>
      <c r="F134" s="331">
        <f>SUM(F130:F133)</f>
        <v>55235</v>
      </c>
      <c r="G134" s="335"/>
      <c r="H134" s="324">
        <f aca="true" t="shared" si="35" ref="H134:M134">SUM(H130:H133)</f>
        <v>116114.25600000005</v>
      </c>
      <c r="I134" s="326">
        <f t="shared" si="35"/>
        <v>2421635</v>
      </c>
      <c r="J134" s="77">
        <f t="shared" si="35"/>
        <v>259699340.256</v>
      </c>
      <c r="K134" s="326">
        <f t="shared" si="35"/>
        <v>-99818286.31040749</v>
      </c>
      <c r="L134" s="77">
        <f t="shared" si="35"/>
        <v>159881053.9455925</v>
      </c>
      <c r="M134" s="326">
        <f t="shared" si="35"/>
        <v>155546590</v>
      </c>
      <c r="N134" s="77"/>
      <c r="O134" s="79">
        <f>SUM(O130:O133)</f>
        <v>159880</v>
      </c>
      <c r="P134" s="79">
        <f>SUM(P130:P133)</f>
        <v>155546</v>
      </c>
      <c r="Q134" s="89"/>
      <c r="R134" s="75"/>
      <c r="S134" s="79">
        <f t="shared" si="32"/>
        <v>159881</v>
      </c>
      <c r="T134" s="79">
        <f t="shared" si="32"/>
        <v>155547</v>
      </c>
      <c r="U134" s="89"/>
      <c r="V134" s="89"/>
      <c r="W134" s="86">
        <f>SUM(W23:W133)</f>
        <v>0</v>
      </c>
      <c r="X134" s="86">
        <f aca="true" t="shared" si="36" ref="X134:AP134">SUM(X23:X133)</f>
        <v>0</v>
      </c>
      <c r="Y134" s="86">
        <f t="shared" si="36"/>
        <v>0</v>
      </c>
      <c r="Z134" s="86">
        <f t="shared" si="36"/>
        <v>0</v>
      </c>
      <c r="AA134" s="86">
        <f t="shared" si="36"/>
        <v>-7150000</v>
      </c>
      <c r="AB134" s="86">
        <f t="shared" si="36"/>
        <v>0</v>
      </c>
      <c r="AC134" s="86">
        <f t="shared" si="36"/>
        <v>0</v>
      </c>
      <c r="AD134" s="86">
        <f>SUM(AD23:AD133)</f>
        <v>-575773.87362</v>
      </c>
      <c r="AE134" s="86">
        <f>SUM(AE23:AE133)</f>
        <v>0</v>
      </c>
      <c r="AF134" s="86">
        <f t="shared" si="36"/>
        <v>-143032.87361999997</v>
      </c>
      <c r="AG134" s="86">
        <f t="shared" si="36"/>
        <v>0</v>
      </c>
      <c r="AH134" s="86">
        <f t="shared" si="36"/>
        <v>0</v>
      </c>
      <c r="AI134" s="86">
        <f t="shared" si="36"/>
        <v>0</v>
      </c>
      <c r="AJ134" s="86">
        <f t="shared" si="36"/>
        <v>0</v>
      </c>
      <c r="AK134" s="86">
        <f t="shared" si="36"/>
        <v>125</v>
      </c>
      <c r="AL134" s="86">
        <f t="shared" si="36"/>
        <v>1289419.936425</v>
      </c>
      <c r="AM134" s="86">
        <f t="shared" si="36"/>
        <v>1271011.9635</v>
      </c>
      <c r="AN134" s="86">
        <f t="shared" si="36"/>
        <v>0</v>
      </c>
      <c r="AO134" s="86">
        <f t="shared" si="36"/>
        <v>0</v>
      </c>
      <c r="AP134" s="86">
        <f t="shared" si="36"/>
        <v>0</v>
      </c>
      <c r="AR134" s="86">
        <f>SUM(AR23:AR133)</f>
        <v>-5308249.847315005</v>
      </c>
    </row>
    <row r="135" spans="1:44" ht="15.75" thickTop="1">
      <c r="A135" s="358"/>
      <c r="B135" s="90"/>
      <c r="C135" s="81"/>
      <c r="D135" s="81"/>
      <c r="E135" s="81"/>
      <c r="F135" s="81"/>
      <c r="G135" s="91"/>
      <c r="H135" s="81"/>
      <c r="I135" s="81"/>
      <c r="J135" s="81"/>
      <c r="K135" s="81"/>
      <c r="L135" s="81"/>
      <c r="M135" s="81"/>
      <c r="N135" s="65"/>
      <c r="O135" s="75"/>
      <c r="P135" s="75"/>
      <c r="Q135" s="75"/>
      <c r="R135" s="341"/>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R135" s="75"/>
    </row>
    <row r="136" spans="1:14" ht="15" hidden="1">
      <c r="A136" s="71" t="s">
        <v>177</v>
      </c>
      <c r="B136" s="72"/>
      <c r="C136" s="65">
        <f>+C123-C134</f>
        <v>0</v>
      </c>
      <c r="D136" s="65">
        <f>+D123-D134</f>
        <v>0</v>
      </c>
      <c r="E136" s="65">
        <f>+E123-E134</f>
        <v>0</v>
      </c>
      <c r="F136" s="65">
        <f>+F123-F134</f>
        <v>0</v>
      </c>
      <c r="G136" s="66"/>
      <c r="H136" s="65">
        <f>+H123-H134</f>
        <v>-0.21949999313801527</v>
      </c>
      <c r="I136" s="65">
        <f>+I123-I134</f>
        <v>0</v>
      </c>
      <c r="J136" s="65">
        <f>+J123-J134</f>
        <v>-0.21950003504753113</v>
      </c>
      <c r="K136" s="65">
        <f>+K123-K134</f>
        <v>0.666499987244606</v>
      </c>
      <c r="L136" s="65">
        <f>+L123-L134</f>
        <v>0.4469999670982361</v>
      </c>
      <c r="M136" s="65"/>
      <c r="N136" s="65"/>
    </row>
    <row r="137" spans="1:14" ht="6" customHeight="1">
      <c r="A137" s="71"/>
      <c r="B137" s="72"/>
      <c r="C137" s="65"/>
      <c r="D137" s="65"/>
      <c r="E137" s="65"/>
      <c r="F137" s="65"/>
      <c r="G137" s="66"/>
      <c r="H137" s="65"/>
      <c r="I137" s="65"/>
      <c r="J137" s="65"/>
      <c r="K137" s="65"/>
      <c r="L137" s="65"/>
      <c r="M137" s="65"/>
      <c r="N137" s="65"/>
    </row>
    <row r="138" spans="1:22" ht="15">
      <c r="A138" s="71" t="s">
        <v>274</v>
      </c>
      <c r="B138" s="72"/>
      <c r="C138" s="65"/>
      <c r="D138" s="65"/>
      <c r="L138" s="92">
        <f>+(L123-L117)/L127</f>
        <v>2.131600485234566</v>
      </c>
      <c r="M138" s="92">
        <f>+(M123-M117)/M127</f>
        <v>2.0738076266666665</v>
      </c>
      <c r="N138" s="93"/>
      <c r="O138" s="92">
        <f>+(O123-O117)/O127</f>
        <v>2.131613333333333</v>
      </c>
      <c r="P138" s="92">
        <f>+(P123-P117)/P127</f>
        <v>2.0738266666666667</v>
      </c>
      <c r="Q138" s="92"/>
      <c r="R138" s="92"/>
      <c r="S138" s="92"/>
      <c r="T138" s="92"/>
      <c r="U138" s="92"/>
      <c r="V138" s="92"/>
    </row>
    <row r="139" spans="1:22" ht="6" customHeight="1">
      <c r="A139" s="71"/>
      <c r="B139" s="72"/>
      <c r="C139" s="65"/>
      <c r="D139" s="65"/>
      <c r="N139" s="75"/>
      <c r="O139" s="92"/>
      <c r="P139" s="92"/>
      <c r="Q139" s="92"/>
      <c r="R139" s="92"/>
      <c r="S139" s="92"/>
      <c r="T139" s="92"/>
      <c r="U139" s="92"/>
      <c r="V139" s="92"/>
    </row>
    <row r="140" spans="1:22" ht="15" hidden="1">
      <c r="A140" s="35" t="s">
        <v>275</v>
      </c>
      <c r="B140" s="37"/>
      <c r="C140" s="363">
        <f>+C75+C112+C113+C114+C115+C116+C117</f>
        <v>110565887</v>
      </c>
      <c r="D140" s="363">
        <f>+D75+D112+D113+D114+D115+D116+D117</f>
        <v>278840866</v>
      </c>
      <c r="E140" s="363">
        <f>+E75+E112+E113+E114+E115+E116+E117</f>
        <v>0</v>
      </c>
      <c r="F140" s="363">
        <f>+F75+F112+F113+F114+F115+F116+F117</f>
        <v>20415669</v>
      </c>
      <c r="G140" s="363"/>
      <c r="H140" s="363">
        <f>+H75+H112+H113+H114+H115+H116+H117</f>
        <v>39829069.561500005</v>
      </c>
      <c r="I140" s="363">
        <f>+I75+I112+I113+I114+I115+I116+I117</f>
        <v>32774148</v>
      </c>
      <c r="J140" s="52">
        <f>+C140+D140+H140+I140</f>
        <v>462009970.5615</v>
      </c>
      <c r="K140" s="52">
        <f>+K74+K112+K113+K114+K115+K116+K117</f>
        <v>-122327575.5539075</v>
      </c>
      <c r="L140" s="52">
        <f>+L75+L112+L113+L114+L115+L117</f>
        <v>339682395.0075925</v>
      </c>
      <c r="M140" s="52">
        <f>+M75+M112+M113+M114+M115+M117</f>
        <v>310459909</v>
      </c>
      <c r="N140" s="75"/>
      <c r="O140" s="76">
        <f>+ROUND(L140/1000,0)</f>
        <v>339682</v>
      </c>
      <c r="P140" s="76">
        <f>+ROUND(M140/1000,0)</f>
        <v>310460</v>
      </c>
      <c r="Q140" s="75"/>
      <c r="R140" s="75"/>
      <c r="S140" s="75"/>
      <c r="T140" s="75"/>
      <c r="U140" s="75"/>
      <c r="V140" s="75"/>
    </row>
    <row r="141" spans="1:22" ht="7.5" customHeight="1" hidden="1">
      <c r="A141" s="35"/>
      <c r="B141" s="38"/>
      <c r="C141" s="38"/>
      <c r="D141" s="38"/>
      <c r="E141" s="38"/>
      <c r="F141" s="38"/>
      <c r="G141" s="38"/>
      <c r="H141" s="38"/>
      <c r="N141" s="75"/>
      <c r="O141" s="92"/>
      <c r="P141" s="92"/>
      <c r="Q141" s="92"/>
      <c r="R141" s="92"/>
      <c r="S141" s="92"/>
      <c r="T141" s="92"/>
      <c r="U141" s="92"/>
      <c r="V141" s="92"/>
    </row>
    <row r="142" spans="1:22" ht="15" hidden="1">
      <c r="A142" s="35" t="s">
        <v>275</v>
      </c>
      <c r="B142" s="38"/>
      <c r="C142" s="38"/>
      <c r="D142" s="38"/>
      <c r="E142" s="38"/>
      <c r="F142" s="38"/>
      <c r="G142" s="38"/>
      <c r="H142" s="38"/>
      <c r="N142" s="75"/>
      <c r="O142" s="92"/>
      <c r="P142" s="92"/>
      <c r="Q142" s="92"/>
      <c r="R142" s="92"/>
      <c r="S142" s="92"/>
      <c r="T142" s="92"/>
      <c r="U142" s="92"/>
      <c r="V142" s="92"/>
    </row>
    <row r="143" spans="1:22" ht="15" hidden="1">
      <c r="A143" s="35" t="s">
        <v>276</v>
      </c>
      <c r="B143" s="38"/>
      <c r="C143" s="38">
        <f>+C140</f>
        <v>110565887</v>
      </c>
      <c r="D143" s="38">
        <f>+D140</f>
        <v>278840866</v>
      </c>
      <c r="E143" s="38">
        <v>0</v>
      </c>
      <c r="F143" s="38">
        <v>0</v>
      </c>
      <c r="G143" s="38"/>
      <c r="H143" s="38">
        <v>0</v>
      </c>
      <c r="I143" s="94">
        <v>0</v>
      </c>
      <c r="J143" s="52">
        <f>SUM(C143:I143)</f>
        <v>389406753</v>
      </c>
      <c r="K143" s="52">
        <f>-C74-C116+K114</f>
        <v>-92034463.5539075</v>
      </c>
      <c r="L143" s="52">
        <f>SUM(J143:K143)</f>
        <v>297372289.4460925</v>
      </c>
      <c r="N143" s="75"/>
      <c r="O143" s="92"/>
      <c r="P143" s="92"/>
      <c r="Q143" s="92"/>
      <c r="R143" s="92"/>
      <c r="S143" s="92"/>
      <c r="T143" s="92"/>
      <c r="U143" s="92"/>
      <c r="V143" s="92"/>
    </row>
    <row r="144" spans="1:22" ht="15" hidden="1">
      <c r="A144" s="35" t="s">
        <v>277</v>
      </c>
      <c r="B144" s="38"/>
      <c r="C144" s="38">
        <v>0</v>
      </c>
      <c r="D144" s="38">
        <v>0</v>
      </c>
      <c r="E144" s="38">
        <f>+E140-E77-E117</f>
        <v>0</v>
      </c>
      <c r="F144" s="38">
        <v>0</v>
      </c>
      <c r="G144" s="38"/>
      <c r="H144" s="38">
        <f>+H140</f>
        <v>39829069.561500005</v>
      </c>
      <c r="I144" s="52">
        <f>+I140</f>
        <v>32774148</v>
      </c>
      <c r="J144" s="52">
        <f>SUM(C144:I144)</f>
        <v>72603217.56150001</v>
      </c>
      <c r="K144" s="52">
        <f>-I74-I116+K117</f>
        <v>-30293112</v>
      </c>
      <c r="L144" s="76">
        <f>SUM(J144:K144)</f>
        <v>42310105.56150001</v>
      </c>
      <c r="N144" s="75"/>
      <c r="O144" s="92"/>
      <c r="P144" s="92"/>
      <c r="Q144" s="92"/>
      <c r="R144" s="92"/>
      <c r="S144" s="92"/>
      <c r="T144" s="92"/>
      <c r="U144" s="92"/>
      <c r="V144" s="92"/>
    </row>
    <row r="145" spans="1:22" ht="15.75" hidden="1" thickBot="1">
      <c r="A145" s="35"/>
      <c r="B145" s="38"/>
      <c r="C145" s="38"/>
      <c r="D145" s="38"/>
      <c r="E145" s="38"/>
      <c r="F145" s="38"/>
      <c r="G145" s="38"/>
      <c r="H145" s="95"/>
      <c r="J145" s="79">
        <f>SUM(J143:J144)</f>
        <v>462009970.5615</v>
      </c>
      <c r="K145" s="79">
        <f>SUM(K143:K144)</f>
        <v>-122327575.5539075</v>
      </c>
      <c r="L145" s="79">
        <f>SUM(L143:L144)</f>
        <v>339682395.0075925</v>
      </c>
      <c r="M145" s="52">
        <f>+L140-L145</f>
        <v>0</v>
      </c>
      <c r="N145" s="75"/>
      <c r="O145" s="92"/>
      <c r="P145" s="92"/>
      <c r="Q145" s="92"/>
      <c r="R145" s="92"/>
      <c r="S145" s="92"/>
      <c r="T145" s="92"/>
      <c r="U145" s="92"/>
      <c r="V145" s="92"/>
    </row>
    <row r="146" spans="1:22" ht="7.5" customHeight="1" hidden="1" thickTop="1">
      <c r="A146" s="35"/>
      <c r="B146" s="38"/>
      <c r="C146" s="38"/>
      <c r="D146" s="38"/>
      <c r="E146" s="38"/>
      <c r="F146" s="38"/>
      <c r="G146" s="38"/>
      <c r="H146" s="38"/>
      <c r="N146" s="75"/>
      <c r="O146" s="92"/>
      <c r="P146" s="92"/>
      <c r="Q146" s="92"/>
      <c r="R146" s="92"/>
      <c r="S146" s="92"/>
      <c r="T146" s="92"/>
      <c r="U146" s="92"/>
      <c r="V146" s="92"/>
    </row>
    <row r="147" spans="1:22" ht="15" hidden="1">
      <c r="A147" s="39" t="s">
        <v>278</v>
      </c>
      <c r="B147" s="38">
        <f>+B143</f>
        <v>0</v>
      </c>
      <c r="C147" s="38">
        <f>+C143</f>
        <v>110565887</v>
      </c>
      <c r="D147" s="38">
        <f>+D144</f>
        <v>0</v>
      </c>
      <c r="E147" s="38">
        <f>+E144</f>
        <v>0</v>
      </c>
      <c r="F147" s="38">
        <v>0</v>
      </c>
      <c r="G147" s="38">
        <f>+G143</f>
        <v>0</v>
      </c>
      <c r="H147" s="38">
        <f>+H144</f>
        <v>39829069.561500005</v>
      </c>
      <c r="I147" s="52">
        <f>+I144</f>
        <v>32774148</v>
      </c>
      <c r="J147" s="52">
        <f>SUM(C147:I147)</f>
        <v>183169104.5615</v>
      </c>
      <c r="K147" s="52">
        <f>+K145</f>
        <v>-122327575.5539075</v>
      </c>
      <c r="L147" s="52">
        <f>SUM(J147:K147)</f>
        <v>60841529.007592514</v>
      </c>
      <c r="N147" s="75"/>
      <c r="O147" s="92"/>
      <c r="P147" s="92"/>
      <c r="Q147" s="92"/>
      <c r="R147" s="92"/>
      <c r="S147" s="92"/>
      <c r="T147" s="92"/>
      <c r="U147" s="92"/>
      <c r="V147" s="92"/>
    </row>
    <row r="148" spans="1:22" ht="15" hidden="1">
      <c r="A148" s="39" t="s">
        <v>279</v>
      </c>
      <c r="B148" s="38">
        <v>0</v>
      </c>
      <c r="C148" s="38">
        <v>0</v>
      </c>
      <c r="D148" s="38">
        <f>+D143</f>
        <v>278840866</v>
      </c>
      <c r="E148" s="38">
        <v>0</v>
      </c>
      <c r="F148" s="38">
        <v>0</v>
      </c>
      <c r="G148" s="38">
        <v>0</v>
      </c>
      <c r="H148" s="38">
        <f>SUM(F148:G148)</f>
        <v>0</v>
      </c>
      <c r="I148" s="94">
        <v>0</v>
      </c>
      <c r="J148" s="52">
        <f>SUM(C148:I148)</f>
        <v>278840866</v>
      </c>
      <c r="K148" s="52">
        <v>0</v>
      </c>
      <c r="L148" s="52">
        <f>SUM(J148:K148)</f>
        <v>278840866</v>
      </c>
      <c r="N148" s="75"/>
      <c r="O148" s="92"/>
      <c r="P148" s="92"/>
      <c r="Q148" s="92"/>
      <c r="R148" s="92"/>
      <c r="S148" s="92"/>
      <c r="T148" s="92"/>
      <c r="U148" s="92"/>
      <c r="V148" s="92"/>
    </row>
    <row r="149" spans="1:22" ht="15.75" hidden="1" thickBot="1">
      <c r="A149" s="35"/>
      <c r="B149" s="38"/>
      <c r="C149" s="38"/>
      <c r="D149" s="38"/>
      <c r="E149" s="38"/>
      <c r="F149" s="38"/>
      <c r="G149" s="38"/>
      <c r="H149" s="95"/>
      <c r="J149" s="79">
        <f>SUM(J147:J148)</f>
        <v>462009970.5615</v>
      </c>
      <c r="K149" s="79">
        <f>SUM(K147:K148)</f>
        <v>-122327575.5539075</v>
      </c>
      <c r="L149" s="79">
        <f>SUM(J149:K149)</f>
        <v>339682395.0075925</v>
      </c>
      <c r="N149" s="75"/>
      <c r="O149" s="92"/>
      <c r="P149" s="92"/>
      <c r="Q149" s="92"/>
      <c r="R149" s="92"/>
      <c r="S149" s="92"/>
      <c r="T149" s="92"/>
      <c r="U149" s="92"/>
      <c r="V149" s="92"/>
    </row>
    <row r="150" spans="1:22" ht="15" hidden="1">
      <c r="A150" s="35" t="s">
        <v>598</v>
      </c>
      <c r="B150" s="72"/>
      <c r="C150" s="65"/>
      <c r="D150" s="65"/>
      <c r="N150" s="75"/>
      <c r="O150" s="92"/>
      <c r="P150" s="92"/>
      <c r="Q150" s="92"/>
      <c r="R150" s="92"/>
      <c r="S150" s="92"/>
      <c r="T150" s="92"/>
      <c r="U150" s="92"/>
      <c r="V150" s="92"/>
    </row>
    <row r="151" spans="1:22" ht="15" hidden="1">
      <c r="A151" s="35" t="s">
        <v>276</v>
      </c>
      <c r="B151" s="72"/>
      <c r="C151" s="65">
        <f>+C14</f>
        <v>0</v>
      </c>
      <c r="D151" s="65">
        <f>+D14</f>
        <v>116025991</v>
      </c>
      <c r="H151" s="52">
        <v>0</v>
      </c>
      <c r="I151" s="52">
        <v>0</v>
      </c>
      <c r="J151" s="52">
        <f>SUM(C151:I151)</f>
        <v>116025991</v>
      </c>
      <c r="N151" s="75"/>
      <c r="O151" s="92"/>
      <c r="P151" s="92"/>
      <c r="Q151" s="92"/>
      <c r="R151" s="92"/>
      <c r="S151" s="92"/>
      <c r="T151" s="92"/>
      <c r="U151" s="92"/>
      <c r="V151" s="92"/>
    </row>
    <row r="152" spans="1:22" ht="15" hidden="1">
      <c r="A152" s="35" t="s">
        <v>277</v>
      </c>
      <c r="B152" s="72"/>
      <c r="C152" s="65">
        <v>0</v>
      </c>
      <c r="D152" s="65">
        <v>0</v>
      </c>
      <c r="H152" s="65">
        <f>+H14</f>
        <v>1271011.9635</v>
      </c>
      <c r="I152" s="65">
        <f>+I14</f>
        <v>0</v>
      </c>
      <c r="J152" s="52">
        <f>SUM(C152:I152)</f>
        <v>1271011.9635</v>
      </c>
      <c r="N152" s="75"/>
      <c r="O152" s="92"/>
      <c r="P152" s="92"/>
      <c r="Q152" s="92"/>
      <c r="R152" s="92"/>
      <c r="S152" s="92"/>
      <c r="T152" s="92"/>
      <c r="U152" s="92"/>
      <c r="V152" s="92"/>
    </row>
    <row r="153" spans="1:22" ht="15.75" hidden="1" thickBot="1">
      <c r="A153" s="35"/>
      <c r="B153" s="72"/>
      <c r="C153" s="65"/>
      <c r="D153" s="65"/>
      <c r="J153" s="79">
        <f>SUM(J151:J152)</f>
        <v>117297002.9635</v>
      </c>
      <c r="N153" s="75"/>
      <c r="O153" s="92"/>
      <c r="P153" s="92"/>
      <c r="Q153" s="92"/>
      <c r="R153" s="92"/>
      <c r="S153" s="92"/>
      <c r="T153" s="92"/>
      <c r="U153" s="92"/>
      <c r="V153" s="92"/>
    </row>
    <row r="154" spans="1:10" ht="15" hidden="1">
      <c r="A154" s="39" t="s">
        <v>278</v>
      </c>
      <c r="C154" s="52">
        <f>+C14</f>
        <v>0</v>
      </c>
      <c r="D154" s="52">
        <v>0</v>
      </c>
      <c r="H154" s="52">
        <f>+H14</f>
        <v>1271011.9635</v>
      </c>
      <c r="I154" s="52">
        <f>+I14</f>
        <v>0</v>
      </c>
      <c r="J154" s="52">
        <f>SUM(C154:I154)</f>
        <v>1271011.9635</v>
      </c>
    </row>
    <row r="155" spans="1:10" ht="15" hidden="1">
      <c r="A155" s="39" t="s">
        <v>279</v>
      </c>
      <c r="C155" s="52">
        <v>0</v>
      </c>
      <c r="D155" s="52">
        <f>+D14</f>
        <v>116025991</v>
      </c>
      <c r="H155" s="52">
        <v>0</v>
      </c>
      <c r="I155" s="52">
        <v>0</v>
      </c>
      <c r="J155" s="52">
        <f>SUM(D155:I155)</f>
        <v>116025991</v>
      </c>
    </row>
    <row r="156" ht="15.75" hidden="1" thickBot="1">
      <c r="J156" s="79">
        <f>SUM(J154:J155)</f>
        <v>117297002.9635</v>
      </c>
    </row>
    <row r="157" ht="15" hidden="1">
      <c r="A157" s="35" t="s">
        <v>599</v>
      </c>
    </row>
    <row r="158" spans="1:12" ht="15" hidden="1">
      <c r="A158" s="35" t="s">
        <v>276</v>
      </c>
      <c r="C158" s="52">
        <f>+C23</f>
        <v>-283970</v>
      </c>
      <c r="D158" s="52">
        <f>+D23</f>
        <v>8330691</v>
      </c>
      <c r="H158" s="52">
        <v>0</v>
      </c>
      <c r="I158" s="52">
        <v>0</v>
      </c>
      <c r="J158" s="52">
        <f>SUM(C158:I158)</f>
        <v>8046721</v>
      </c>
      <c r="K158" s="52">
        <f>-X23</f>
        <v>135151.04</v>
      </c>
      <c r="L158" s="52">
        <f>SUM(J158:K158)</f>
        <v>8181872.04</v>
      </c>
    </row>
    <row r="159" spans="1:12" ht="15" hidden="1">
      <c r="A159" s="35" t="s">
        <v>277</v>
      </c>
      <c r="C159" s="52">
        <v>0</v>
      </c>
      <c r="D159" s="52">
        <v>0</v>
      </c>
      <c r="H159" s="52">
        <f>+H23</f>
        <v>1099665.256</v>
      </c>
      <c r="I159" s="52">
        <f>+I23</f>
        <v>-136244</v>
      </c>
      <c r="J159" s="52">
        <f>SUM(C159:I159)</f>
        <v>963421.256</v>
      </c>
      <c r="K159" s="52">
        <f>-AK23-AM23</f>
        <v>-1271136.9635</v>
      </c>
      <c r="L159" s="52">
        <f>SUM(J159:K159)</f>
        <v>-307715.7075</v>
      </c>
    </row>
    <row r="160" spans="1:12" ht="15.75" hidden="1" thickBot="1">
      <c r="A160" s="35"/>
      <c r="J160" s="79">
        <f>SUM(J158:J159)</f>
        <v>9010142.256000001</v>
      </c>
      <c r="L160" s="79">
        <f>SUM(L158:L159)</f>
        <v>7874156.3325</v>
      </c>
    </row>
    <row r="161" spans="1:12" ht="15" hidden="1">
      <c r="A161" s="39" t="s">
        <v>278</v>
      </c>
      <c r="C161" s="52">
        <f>+C23</f>
        <v>-283970</v>
      </c>
      <c r="D161" s="52">
        <v>0</v>
      </c>
      <c r="H161" s="52">
        <f>+H23</f>
        <v>1099665.256</v>
      </c>
      <c r="I161" s="52">
        <f>+I23</f>
        <v>-136244</v>
      </c>
      <c r="J161" s="52">
        <f>SUM(C161:I161)</f>
        <v>679451.256</v>
      </c>
      <c r="K161" s="52">
        <f>-AM23-AK23</f>
        <v>-1271136.9635</v>
      </c>
      <c r="L161" s="52">
        <f>SUM(J161:K161)</f>
        <v>-591685.7075</v>
      </c>
    </row>
    <row r="162" spans="1:12" ht="15" hidden="1">
      <c r="A162" s="39" t="s">
        <v>279</v>
      </c>
      <c r="C162" s="52">
        <v>0</v>
      </c>
      <c r="D162" s="52">
        <f>+D23</f>
        <v>8330691</v>
      </c>
      <c r="H162" s="52">
        <v>0</v>
      </c>
      <c r="I162" s="52">
        <v>0</v>
      </c>
      <c r="J162" s="52">
        <f>SUM(C162:I162)</f>
        <v>8330691</v>
      </c>
      <c r="K162" s="52">
        <f>-X23</f>
        <v>135151.04</v>
      </c>
      <c r="L162" s="52">
        <f>SUM(J162:K162)</f>
        <v>8465842.04</v>
      </c>
    </row>
    <row r="163" spans="10:12" ht="15.75" hidden="1" thickBot="1">
      <c r="J163" s="79">
        <f>SUM(J161:J162)</f>
        <v>9010142.256000001</v>
      </c>
      <c r="L163" s="79">
        <f>SUM(L161:L162)</f>
        <v>7874156.3325</v>
      </c>
    </row>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sheetData>
  <printOptions/>
  <pageMargins left="0.75" right="0.75" top="1" bottom="1" header="0.5" footer="0.5"/>
  <pageSetup horizontalDpi="300" verticalDpi="300" orientation="landscape" paperSize="9" scale="65" r:id="rId1"/>
</worksheet>
</file>

<file path=xl/worksheets/sheet5.xml><?xml version="1.0" encoding="utf-8"?>
<worksheet xmlns="http://schemas.openxmlformats.org/spreadsheetml/2006/main" xmlns:r="http://schemas.openxmlformats.org/officeDocument/2006/relationships">
  <dimension ref="A1:G48"/>
  <sheetViews>
    <sheetView zoomScale="75" zoomScaleNormal="75" workbookViewId="0" topLeftCell="A23">
      <selection activeCell="E12" sqref="E12"/>
    </sheetView>
  </sheetViews>
  <sheetFormatPr defaultColWidth="9.140625" defaultRowHeight="12.75"/>
  <cols>
    <col min="1" max="1" width="5.00390625" style="0" customWidth="1"/>
    <col min="2" max="2" width="4.7109375" style="0" customWidth="1"/>
    <col min="3" max="3" width="15.28125" style="0" customWidth="1"/>
    <col min="4" max="4" width="22.00390625" style="0" customWidth="1"/>
    <col min="5" max="5" width="16.57421875" style="0" customWidth="1"/>
    <col min="6" max="6" width="3.7109375" style="0" customWidth="1"/>
    <col min="7" max="7" width="17.28125" style="0" customWidth="1"/>
  </cols>
  <sheetData>
    <row r="1" spans="1:7" ht="12.75">
      <c r="A1" s="502" t="s">
        <v>115</v>
      </c>
      <c r="B1" s="12"/>
      <c r="C1" s="12"/>
      <c r="D1" s="12"/>
      <c r="E1" s="12"/>
      <c r="F1" s="12"/>
      <c r="G1" s="12"/>
    </row>
    <row r="2" spans="1:7" ht="12.75">
      <c r="A2" s="502" t="s">
        <v>616</v>
      </c>
      <c r="B2" s="12"/>
      <c r="C2" s="12"/>
      <c r="D2" s="12"/>
      <c r="E2" s="12"/>
      <c r="F2" s="12"/>
      <c r="G2" s="12"/>
    </row>
    <row r="3" spans="1:7" ht="12.75">
      <c r="A3" s="502" t="s">
        <v>617</v>
      </c>
      <c r="B3" s="12"/>
      <c r="C3" s="12"/>
      <c r="D3" s="12"/>
      <c r="E3" s="12"/>
      <c r="F3" s="12"/>
      <c r="G3" s="12"/>
    </row>
    <row r="4" spans="1:7" ht="12.75">
      <c r="A4" s="12"/>
      <c r="B4" s="12"/>
      <c r="C4" s="12"/>
      <c r="D4" s="12"/>
      <c r="E4" s="12"/>
      <c r="F4" s="12"/>
      <c r="G4" s="12"/>
    </row>
    <row r="5" spans="1:7" ht="12.75">
      <c r="A5" s="12"/>
      <c r="B5" s="12"/>
      <c r="C5" s="12"/>
      <c r="D5" s="12"/>
      <c r="E5" s="503" t="s">
        <v>628</v>
      </c>
      <c r="F5" s="503"/>
      <c r="G5" s="503" t="s">
        <v>583</v>
      </c>
    </row>
    <row r="6" spans="1:7" ht="12.75">
      <c r="A6" s="12"/>
      <c r="B6" s="12"/>
      <c r="C6" s="12"/>
      <c r="D6" s="12"/>
      <c r="E6" s="503" t="s">
        <v>647</v>
      </c>
      <c r="F6" s="503"/>
      <c r="G6" s="503" t="s">
        <v>629</v>
      </c>
    </row>
    <row r="7" spans="1:7" ht="12.75">
      <c r="A7" s="502"/>
      <c r="B7" s="502"/>
      <c r="C7" s="12"/>
      <c r="D7" s="12"/>
      <c r="E7" s="503" t="s">
        <v>201</v>
      </c>
      <c r="F7" s="503"/>
      <c r="G7" s="503" t="s">
        <v>201</v>
      </c>
    </row>
    <row r="8" spans="1:7" ht="12.75">
      <c r="A8" s="502"/>
      <c r="B8" s="502"/>
      <c r="C8" s="12"/>
      <c r="D8" s="12"/>
      <c r="E8" s="503" t="s">
        <v>648</v>
      </c>
      <c r="F8" s="503"/>
      <c r="G8" s="503" t="s">
        <v>648</v>
      </c>
    </row>
    <row r="9" spans="1:7" ht="12.75">
      <c r="A9" s="502"/>
      <c r="B9" s="502"/>
      <c r="C9" s="12"/>
      <c r="D9" s="12"/>
      <c r="E9" s="503"/>
      <c r="F9" s="503"/>
      <c r="G9" s="503"/>
    </row>
    <row r="10" spans="1:7" ht="12.75" customHeight="1">
      <c r="A10" s="502">
        <v>1</v>
      </c>
      <c r="B10" s="502" t="s">
        <v>634</v>
      </c>
      <c r="C10" s="502"/>
      <c r="D10" s="502"/>
      <c r="E10" s="504">
        <f>+'CONS-P&amp;L,BS'!L14</f>
        <v>116025991</v>
      </c>
      <c r="F10" s="504"/>
      <c r="G10" s="504">
        <f>+'CONS-P&amp;L,BS'!M14</f>
        <v>455286454</v>
      </c>
    </row>
    <row r="11" spans="1:7" ht="7.5" customHeight="1">
      <c r="A11" s="502"/>
      <c r="B11" s="502"/>
      <c r="C11" s="502"/>
      <c r="D11" s="502"/>
      <c r="E11" s="504"/>
      <c r="F11" s="504"/>
      <c r="G11" s="504"/>
    </row>
    <row r="12" spans="1:7" ht="12.75">
      <c r="A12" s="502">
        <v>2</v>
      </c>
      <c r="B12" s="502" t="s">
        <v>635</v>
      </c>
      <c r="C12" s="502"/>
      <c r="D12" s="502"/>
      <c r="E12" s="504">
        <f>+'CONS-P&amp;L,BS'!L23</f>
        <v>7874156.332500001</v>
      </c>
      <c r="F12" s="504"/>
      <c r="G12" s="504">
        <f>+'CONS-P&amp;L,BS'!M23</f>
        <v>28075189</v>
      </c>
    </row>
    <row r="13" spans="1:7" ht="7.5" customHeight="1">
      <c r="A13" s="502"/>
      <c r="B13" s="502"/>
      <c r="C13" s="502"/>
      <c r="D13" s="502"/>
      <c r="E13" s="504"/>
      <c r="F13" s="504"/>
      <c r="G13" s="504"/>
    </row>
    <row r="14" spans="1:7" ht="12.75">
      <c r="A14" s="502">
        <v>3</v>
      </c>
      <c r="B14" s="502" t="s">
        <v>636</v>
      </c>
      <c r="C14" s="502"/>
      <c r="D14" s="502"/>
      <c r="E14" s="505">
        <f>+'CONS-P&amp;L,BS'!L25+'CONS-P&amp;L,BS'!L26</f>
        <v>992699.39013</v>
      </c>
      <c r="F14" s="505"/>
      <c r="G14" s="505">
        <f>+'CONS-P&amp;L,BS'!M25+'CONS-P&amp;L,BS'!M26</f>
        <v>5443253</v>
      </c>
    </row>
    <row r="15" spans="1:7" ht="7.5" customHeight="1">
      <c r="A15" s="502"/>
      <c r="B15" s="502"/>
      <c r="C15" s="502"/>
      <c r="D15" s="502"/>
      <c r="E15" s="506"/>
      <c r="F15" s="506"/>
      <c r="G15" s="506"/>
    </row>
    <row r="16" spans="1:7" ht="12.75">
      <c r="A16" s="502">
        <v>4</v>
      </c>
      <c r="B16" s="502" t="s">
        <v>640</v>
      </c>
      <c r="C16" s="502"/>
      <c r="D16" s="12"/>
      <c r="E16" s="504">
        <f>-'CONS-P&amp;L,BS'!L31-'CONS-P&amp;L,BS'!L33</f>
        <v>2776682.6470375</v>
      </c>
      <c r="F16" s="504"/>
      <c r="G16" s="504">
        <f>-'CONS-P&amp;L,BS'!M31-'CONS-P&amp;L,BS'!M33</f>
        <v>1627125</v>
      </c>
    </row>
    <row r="17" spans="1:7" ht="7.5" customHeight="1">
      <c r="A17" s="12"/>
      <c r="B17" s="12"/>
      <c r="C17" s="12"/>
      <c r="D17" s="12"/>
      <c r="E17" s="504"/>
      <c r="F17" s="504"/>
      <c r="G17" s="504"/>
    </row>
    <row r="18" spans="1:7" ht="12.75">
      <c r="A18" s="502">
        <v>5</v>
      </c>
      <c r="B18" s="502" t="s">
        <v>641</v>
      </c>
      <c r="C18" s="502"/>
      <c r="D18" s="12"/>
      <c r="E18" s="504">
        <f>+'CONS-P&amp;L,BS'!L35</f>
        <v>6090173.075592501</v>
      </c>
      <c r="F18" s="504"/>
      <c r="G18" s="504">
        <f>+'CONS-P&amp;L,BS'!M35</f>
        <v>31891317</v>
      </c>
    </row>
    <row r="19" spans="1:7" ht="7.5" customHeight="1">
      <c r="A19" s="12"/>
      <c r="B19" s="12"/>
      <c r="C19" s="12"/>
      <c r="D19" s="12"/>
      <c r="E19" s="504"/>
      <c r="F19" s="504"/>
      <c r="G19" s="504"/>
    </row>
    <row r="20" spans="1:7" ht="12.75">
      <c r="A20" s="502">
        <v>6</v>
      </c>
      <c r="B20" s="502" t="s">
        <v>642</v>
      </c>
      <c r="C20" s="12"/>
      <c r="D20" s="12"/>
      <c r="E20" s="504"/>
      <c r="F20" s="504"/>
      <c r="G20" s="504"/>
    </row>
    <row r="21" spans="1:7" ht="12.75">
      <c r="A21" s="12"/>
      <c r="B21" s="502" t="s">
        <v>643</v>
      </c>
      <c r="C21" s="12"/>
      <c r="D21" s="12"/>
      <c r="E21" s="504">
        <f>+'CONS-P&amp;L,BS'!L47</f>
        <v>61958990.9855925</v>
      </c>
      <c r="F21" s="504"/>
      <c r="G21" s="504">
        <f>+'CONS-P&amp;L,BS'!M47</f>
        <v>57558526</v>
      </c>
    </row>
    <row r="22" spans="1:7" ht="7.5" customHeight="1">
      <c r="A22" s="12"/>
      <c r="B22" s="12"/>
      <c r="C22" s="12"/>
      <c r="D22" s="12"/>
      <c r="E22" s="504"/>
      <c r="F22" s="504"/>
      <c r="G22" s="504"/>
    </row>
    <row r="23" spans="1:7" ht="12.75">
      <c r="A23" s="502">
        <v>7</v>
      </c>
      <c r="B23" s="502" t="s">
        <v>637</v>
      </c>
      <c r="C23" s="502"/>
      <c r="D23" s="502"/>
      <c r="E23" s="507">
        <f>+'CONS-P&amp;L,BS'!L138</f>
        <v>2.131600485234566</v>
      </c>
      <c r="F23" s="507"/>
      <c r="G23" s="507">
        <f>+'CONS-P&amp;L,BS'!M138</f>
        <v>2.0738076266666665</v>
      </c>
    </row>
    <row r="24" spans="1:7" ht="7.5" customHeight="1">
      <c r="A24" s="502"/>
      <c r="B24" s="502"/>
      <c r="C24" s="502"/>
      <c r="D24" s="502"/>
      <c r="E24" s="506"/>
      <c r="F24" s="506"/>
      <c r="G24" s="506"/>
    </row>
    <row r="25" spans="1:7" ht="12.75" customHeight="1">
      <c r="A25" s="502">
        <v>8</v>
      </c>
      <c r="B25" s="502" t="s">
        <v>639</v>
      </c>
      <c r="C25" s="502"/>
      <c r="D25" s="502"/>
      <c r="E25" s="507">
        <f>+KLSE!K54</f>
        <v>0.06057997265616668</v>
      </c>
      <c r="F25" s="506"/>
      <c r="G25" s="507">
        <f>+KLSE!T54</f>
        <v>0.3134266666666667</v>
      </c>
    </row>
    <row r="26" spans="1:7" ht="7.5" customHeight="1">
      <c r="A26" s="502"/>
      <c r="B26" s="502"/>
      <c r="C26" s="502"/>
      <c r="D26" s="502"/>
      <c r="E26" s="506"/>
      <c r="F26" s="506"/>
      <c r="G26" s="506"/>
    </row>
    <row r="27" spans="1:7" ht="12.75">
      <c r="A27" s="502">
        <v>9</v>
      </c>
      <c r="B27" s="502" t="s">
        <v>618</v>
      </c>
      <c r="C27" s="12"/>
      <c r="D27" s="12"/>
      <c r="E27" s="503"/>
      <c r="F27" s="503"/>
      <c r="G27" s="503"/>
    </row>
    <row r="28" spans="1:7" ht="6" customHeight="1">
      <c r="A28" s="502"/>
      <c r="B28" s="502"/>
      <c r="C28" s="12"/>
      <c r="D28" s="12"/>
      <c r="E28" s="503"/>
      <c r="F28" s="503"/>
      <c r="G28" s="503"/>
    </row>
    <row r="29" spans="1:7" ht="12.75">
      <c r="A29" s="12"/>
      <c r="B29" s="12"/>
      <c r="C29" s="508" t="s">
        <v>619</v>
      </c>
      <c r="D29" s="12"/>
      <c r="E29" s="503" t="s">
        <v>638</v>
      </c>
      <c r="F29" s="12"/>
      <c r="G29" s="503" t="s">
        <v>638</v>
      </c>
    </row>
    <row r="30" spans="1:7" ht="7.5" customHeight="1">
      <c r="A30" s="12"/>
      <c r="B30" s="12"/>
      <c r="C30" s="12"/>
      <c r="D30" s="12"/>
      <c r="E30" s="12"/>
      <c r="F30" s="12"/>
      <c r="G30" s="12"/>
    </row>
    <row r="31" spans="1:7" ht="12.75">
      <c r="A31" s="12"/>
      <c r="B31" s="12"/>
      <c r="C31" s="12"/>
      <c r="D31" s="12" t="s">
        <v>620</v>
      </c>
      <c r="E31" s="504">
        <v>26</v>
      </c>
      <c r="F31" s="504"/>
      <c r="G31" s="504">
        <v>88</v>
      </c>
    </row>
    <row r="32" spans="1:7" ht="12.75">
      <c r="A32" s="12"/>
      <c r="B32" s="12"/>
      <c r="C32" s="12"/>
      <c r="D32" s="12" t="s">
        <v>621</v>
      </c>
      <c r="E32" s="504">
        <v>7</v>
      </c>
      <c r="F32" s="504"/>
      <c r="G32" s="504">
        <v>76</v>
      </c>
    </row>
    <row r="33" spans="1:7" ht="12.75">
      <c r="A33" s="12"/>
      <c r="B33" s="12"/>
      <c r="C33" s="12"/>
      <c r="D33" s="12" t="s">
        <v>630</v>
      </c>
      <c r="E33" s="504">
        <f>306+70+167</f>
        <v>543</v>
      </c>
      <c r="F33" s="504"/>
      <c r="G33" s="504">
        <f>1252+129+555</f>
        <v>1936</v>
      </c>
    </row>
    <row r="34" spans="1:7" ht="12.75">
      <c r="A34" s="12"/>
      <c r="B34" s="12"/>
      <c r="C34" s="12"/>
      <c r="D34" s="12" t="s">
        <v>631</v>
      </c>
      <c r="E34" s="504">
        <v>65</v>
      </c>
      <c r="F34" s="504"/>
      <c r="G34" s="504">
        <f>3+453</f>
        <v>456</v>
      </c>
    </row>
    <row r="35" spans="1:7" ht="12.75">
      <c r="A35" s="12"/>
      <c r="B35" s="12"/>
      <c r="C35" s="12"/>
      <c r="D35" s="12" t="s">
        <v>632</v>
      </c>
      <c r="E35" s="504">
        <v>1</v>
      </c>
      <c r="F35" s="504"/>
      <c r="G35" s="504">
        <v>57</v>
      </c>
    </row>
    <row r="36" spans="1:7" ht="12.75">
      <c r="A36" s="12"/>
      <c r="B36" s="12"/>
      <c r="C36" s="12"/>
      <c r="D36" s="12" t="s">
        <v>633</v>
      </c>
      <c r="E36" s="504">
        <v>0</v>
      </c>
      <c r="F36" s="504"/>
      <c r="G36" s="504">
        <v>8</v>
      </c>
    </row>
    <row r="37" spans="1:7" ht="13.5" thickBot="1">
      <c r="A37" s="12"/>
      <c r="B37" s="12"/>
      <c r="C37" s="12"/>
      <c r="D37" s="503" t="s">
        <v>224</v>
      </c>
      <c r="E37" s="509">
        <f>SUM(E31:E36)</f>
        <v>642</v>
      </c>
      <c r="F37" s="504"/>
      <c r="G37" s="509">
        <f>SUM(G31:G36)</f>
        <v>2621</v>
      </c>
    </row>
    <row r="38" spans="1:7" ht="13.5" thickTop="1">
      <c r="A38" s="12"/>
      <c r="B38" s="12"/>
      <c r="C38" s="12"/>
      <c r="D38" s="12"/>
      <c r="E38" s="504"/>
      <c r="F38" s="504"/>
      <c r="G38" s="504"/>
    </row>
    <row r="39" spans="1:7" ht="12.75">
      <c r="A39" s="12"/>
      <c r="B39" s="12"/>
      <c r="C39" s="508" t="s">
        <v>622</v>
      </c>
      <c r="D39" s="12"/>
      <c r="E39" s="504"/>
      <c r="F39" s="504"/>
      <c r="G39" s="504"/>
    </row>
    <row r="40" spans="1:7" ht="7.5" customHeight="1">
      <c r="A40" s="12"/>
      <c r="B40" s="12"/>
      <c r="C40" s="12"/>
      <c r="D40" s="12"/>
      <c r="E40" s="504"/>
      <c r="F40" s="504"/>
      <c r="G40" s="504"/>
    </row>
    <row r="41" spans="1:7" ht="12.75">
      <c r="A41" s="12"/>
      <c r="B41" s="12"/>
      <c r="C41" s="12"/>
      <c r="D41" s="12" t="s">
        <v>623</v>
      </c>
      <c r="E41" s="504">
        <v>863</v>
      </c>
      <c r="F41" s="504"/>
      <c r="G41" s="504">
        <v>3469</v>
      </c>
    </row>
    <row r="42" spans="1:7" ht="12.75">
      <c r="A42" s="12"/>
      <c r="B42" s="12"/>
      <c r="C42" s="12"/>
      <c r="D42" s="12" t="s">
        <v>624</v>
      </c>
      <c r="E42" s="504">
        <f>316+795</f>
        <v>1111</v>
      </c>
      <c r="F42" s="504"/>
      <c r="G42" s="504">
        <v>3360</v>
      </c>
    </row>
    <row r="43" spans="1:7" ht="12.75">
      <c r="A43" s="12"/>
      <c r="B43" s="12"/>
      <c r="C43" s="12"/>
      <c r="D43" s="12" t="s">
        <v>625</v>
      </c>
      <c r="E43" s="504">
        <f>98+246</f>
        <v>344</v>
      </c>
      <c r="F43" s="504"/>
      <c r="G43" s="504">
        <v>780</v>
      </c>
    </row>
    <row r="44" spans="1:7" ht="12.75">
      <c r="A44" s="12"/>
      <c r="B44" s="12"/>
      <c r="C44" s="12"/>
      <c r="D44" s="12" t="s">
        <v>626</v>
      </c>
      <c r="E44" s="504">
        <f>45+74</f>
        <v>119</v>
      </c>
      <c r="F44" s="504"/>
      <c r="G44" s="504">
        <v>169</v>
      </c>
    </row>
    <row r="45" spans="1:7" ht="12.75">
      <c r="A45" s="12"/>
      <c r="B45" s="12"/>
      <c r="C45" s="12"/>
      <c r="D45" s="12" t="s">
        <v>627</v>
      </c>
      <c r="E45" s="504">
        <f>179+415</f>
        <v>594</v>
      </c>
      <c r="F45" s="504"/>
      <c r="G45" s="504">
        <v>1439</v>
      </c>
    </row>
    <row r="46" spans="1:7" ht="13.5" thickBot="1">
      <c r="A46" s="12"/>
      <c r="B46" s="12"/>
      <c r="C46" s="12"/>
      <c r="D46" s="503" t="s">
        <v>224</v>
      </c>
      <c r="E46" s="509">
        <f>SUM(E41:E45)</f>
        <v>3031</v>
      </c>
      <c r="F46" s="504"/>
      <c r="G46" s="509">
        <f>SUM(G41:G45)</f>
        <v>9217</v>
      </c>
    </row>
    <row r="47" spans="1:7" ht="13.5" thickTop="1">
      <c r="A47" s="12"/>
      <c r="B47" s="12"/>
      <c r="C47" s="12"/>
      <c r="D47" s="12"/>
      <c r="E47" s="504"/>
      <c r="F47" s="504"/>
      <c r="G47" s="504"/>
    </row>
    <row r="48" spans="1:7" ht="12.75">
      <c r="A48" s="12"/>
      <c r="B48" s="12"/>
      <c r="C48" s="12"/>
      <c r="D48" s="12"/>
      <c r="E48" s="12"/>
      <c r="F48" s="12"/>
      <c r="G48" s="12"/>
    </row>
  </sheetData>
  <printOptions/>
  <pageMargins left="0.75" right="0.75" top="1" bottom="1" header="0.5" footer="0.5"/>
  <pageSetup horizontalDpi="300" verticalDpi="300" orientation="portrait" scale="90" r:id="rId1"/>
</worksheet>
</file>

<file path=xl/worksheets/sheet6.xml><?xml version="1.0" encoding="utf-8"?>
<worksheet xmlns="http://schemas.openxmlformats.org/spreadsheetml/2006/main" xmlns:r="http://schemas.openxmlformats.org/officeDocument/2006/relationships">
  <dimension ref="A1:L29"/>
  <sheetViews>
    <sheetView zoomScale="75" zoomScaleNormal="75" workbookViewId="0" topLeftCell="A1">
      <selection activeCell="F19" sqref="F19"/>
    </sheetView>
  </sheetViews>
  <sheetFormatPr defaultColWidth="9.140625" defaultRowHeight="12.75"/>
  <cols>
    <col min="2" max="2" width="12.28125" style="0" bestFit="1" customWidth="1"/>
    <col min="3" max="3" width="10.28125" style="0" bestFit="1" customWidth="1"/>
    <col min="4" max="4" width="10.7109375" style="0" bestFit="1" customWidth="1"/>
    <col min="5" max="5" width="3.28125" style="0" customWidth="1"/>
    <col min="6" max="6" width="12.140625" style="0" customWidth="1"/>
    <col min="7" max="7" width="10.28125" style="0" customWidth="1"/>
    <col min="8" max="8" width="11.28125" style="0" bestFit="1" customWidth="1"/>
  </cols>
  <sheetData>
    <row r="1" ht="12.75">
      <c r="A1" s="4" t="s">
        <v>115</v>
      </c>
    </row>
    <row r="2" ht="12.75">
      <c r="A2" s="4" t="s">
        <v>588</v>
      </c>
    </row>
    <row r="5" spans="2:8" ht="15">
      <c r="B5" s="546" t="s">
        <v>229</v>
      </c>
      <c r="C5" s="546"/>
      <c r="D5" s="546"/>
      <c r="F5" s="546" t="s">
        <v>232</v>
      </c>
      <c r="G5" s="546"/>
      <c r="H5" s="546"/>
    </row>
    <row r="7" spans="2:8" ht="12.75">
      <c r="B7" s="28" t="s">
        <v>595</v>
      </c>
      <c r="C7" s="28" t="s">
        <v>596</v>
      </c>
      <c r="D7" s="28" t="s">
        <v>600</v>
      </c>
      <c r="E7" s="28"/>
      <c r="F7" s="28" t="s">
        <v>595</v>
      </c>
      <c r="G7" s="28" t="s">
        <v>596</v>
      </c>
      <c r="H7" s="28" t="s">
        <v>600</v>
      </c>
    </row>
    <row r="9" spans="1:12" ht="12.75">
      <c r="A9" t="s">
        <v>589</v>
      </c>
      <c r="B9" s="8">
        <f>6367078+546190</f>
        <v>6913268</v>
      </c>
      <c r="C9" s="8">
        <f>+'CONS-P&amp;L,BS'!C23</f>
        <v>-283970</v>
      </c>
      <c r="D9" s="8">
        <f>+C9-B9</f>
        <v>-7197238</v>
      </c>
      <c r="E9" s="8"/>
      <c r="F9" s="8">
        <f>6367078+546190</f>
        <v>6913268</v>
      </c>
      <c r="G9" s="8">
        <f>+'CONS-P&amp;L,BS'!C35</f>
        <v>-283970</v>
      </c>
      <c r="H9" s="8">
        <f>+G9-F9</f>
        <v>-7197238</v>
      </c>
      <c r="I9" s="8"/>
      <c r="J9" s="8"/>
      <c r="K9" s="8"/>
      <c r="L9" s="8"/>
    </row>
    <row r="10" spans="1:12" ht="12.75">
      <c r="A10" t="s">
        <v>423</v>
      </c>
      <c r="B10" s="8">
        <f>29513674-21667684</f>
        <v>7845990</v>
      </c>
      <c r="C10" s="8">
        <f>+'CONS-P&amp;L,BS'!D23</f>
        <v>8330691</v>
      </c>
      <c r="D10" s="8">
        <f aca="true" t="shared" si="0" ref="D10:D17">+C10-B10</f>
        <v>484701</v>
      </c>
      <c r="E10" s="8"/>
      <c r="F10" s="8">
        <f>29513674-21667684</f>
        <v>7845990</v>
      </c>
      <c r="G10" s="8">
        <f>+'CONS-P&amp;L,BS'!D35</f>
        <v>5928800</v>
      </c>
      <c r="H10" s="8">
        <f aca="true" t="shared" si="1" ref="H10:H17">+G10-F10</f>
        <v>-1917190</v>
      </c>
      <c r="I10" s="8"/>
      <c r="J10" s="8"/>
      <c r="K10" s="8"/>
      <c r="L10" s="8"/>
    </row>
    <row r="11" spans="1:12" ht="12.75">
      <c r="A11" t="s">
        <v>590</v>
      </c>
      <c r="B11" s="8">
        <f>1539026-928697</f>
        <v>610329</v>
      </c>
      <c r="C11" s="8">
        <f>+'CONS-P&amp;L,BS'!I23</f>
        <v>-136244</v>
      </c>
      <c r="D11" s="8">
        <f t="shared" si="0"/>
        <v>-746573</v>
      </c>
      <c r="E11" s="8"/>
      <c r="F11" s="8">
        <f>1539026-928697</f>
        <v>610329</v>
      </c>
      <c r="G11" s="8">
        <f>+'CONS-P&amp;L,BS'!I35</f>
        <v>-136244</v>
      </c>
      <c r="H11" s="8">
        <f t="shared" si="1"/>
        <v>-746573</v>
      </c>
      <c r="I11" s="8"/>
      <c r="J11" s="8"/>
      <c r="K11" s="8"/>
      <c r="L11" s="8"/>
    </row>
    <row r="12" spans="1:12" ht="12.75">
      <c r="A12" t="s">
        <v>591</v>
      </c>
      <c r="B12" s="8">
        <f>2295483+2106</f>
        <v>2297589</v>
      </c>
      <c r="C12" s="8">
        <f>+'CONS-P&amp;L,BS'!H23</f>
        <v>1099665.256</v>
      </c>
      <c r="D12" s="8">
        <f t="shared" si="0"/>
        <v>-1197923.744</v>
      </c>
      <c r="E12" s="8"/>
      <c r="F12" s="8">
        <f>2295483+2106</f>
        <v>2297589</v>
      </c>
      <c r="G12" s="8">
        <f>+'CONS-P&amp;L,BS'!H35</f>
        <v>1099665.256</v>
      </c>
      <c r="H12" s="8">
        <f t="shared" si="1"/>
        <v>-1197923.744</v>
      </c>
      <c r="I12" s="8"/>
      <c r="J12" s="8"/>
      <c r="K12" s="8"/>
      <c r="L12" s="8"/>
    </row>
    <row r="13" spans="1:12" ht="12.75">
      <c r="A13" t="s">
        <v>592</v>
      </c>
      <c r="B13" s="8"/>
      <c r="C13" s="8">
        <f>+'CONS-P&amp;L,BS'!C29</f>
        <v>0</v>
      </c>
      <c r="D13" s="8">
        <f t="shared" si="0"/>
        <v>0</v>
      </c>
      <c r="E13" s="8"/>
      <c r="F13" s="8"/>
      <c r="G13" s="8"/>
      <c r="H13" s="8">
        <f t="shared" si="1"/>
        <v>0</v>
      </c>
      <c r="I13" s="8"/>
      <c r="J13" s="8"/>
      <c r="K13" s="8"/>
      <c r="L13" s="8"/>
    </row>
    <row r="14" spans="1:12" ht="12.75">
      <c r="A14" t="s">
        <v>593</v>
      </c>
      <c r="B14" s="8">
        <v>0</v>
      </c>
      <c r="C14" s="8">
        <f>+'CONS-P&amp;L,BS'!C30</f>
        <v>0</v>
      </c>
      <c r="D14" s="8">
        <f t="shared" si="0"/>
        <v>0</v>
      </c>
      <c r="E14" s="8"/>
      <c r="F14" s="8">
        <f>307589+440250-26024-266331</f>
        <v>455484</v>
      </c>
      <c r="G14" s="8">
        <f>+MBMI!E130</f>
        <v>-143032.87361999997</v>
      </c>
      <c r="H14" s="8">
        <f t="shared" si="1"/>
        <v>-598516.87362</v>
      </c>
      <c r="I14" s="8"/>
      <c r="J14" s="8"/>
      <c r="K14" s="8"/>
      <c r="L14" s="8"/>
    </row>
    <row r="15" spans="1:12" ht="12.75">
      <c r="A15" t="s">
        <v>594</v>
      </c>
      <c r="B15" s="8">
        <v>0</v>
      </c>
      <c r="C15" s="8">
        <f>+'CONS-P&amp;L,BS'!C31</f>
        <v>0</v>
      </c>
      <c r="D15" s="8">
        <f t="shared" si="0"/>
        <v>0</v>
      </c>
      <c r="E15" s="8"/>
      <c r="F15" s="8">
        <f>3094313-2248556</f>
        <v>845757</v>
      </c>
      <c r="G15" s="8">
        <f>+CMC!D38+CMC!D39</f>
        <v>760940.6167124999</v>
      </c>
      <c r="H15" s="8">
        <f t="shared" si="1"/>
        <v>-84816.38328750012</v>
      </c>
      <c r="I15" s="8"/>
      <c r="J15" s="8"/>
      <c r="K15" s="8"/>
      <c r="L15" s="8"/>
    </row>
    <row r="16" spans="1:12" ht="12.75">
      <c r="A16" t="s">
        <v>597</v>
      </c>
      <c r="B16" s="8">
        <f>-11571975+166866-94240</f>
        <v>-11499349</v>
      </c>
      <c r="C16" s="8">
        <f>+'CONS-P&amp;L,BS'!K23</f>
        <v>-1135985.9235</v>
      </c>
      <c r="D16" s="8">
        <f t="shared" si="0"/>
        <v>10363363.0765</v>
      </c>
      <c r="E16" s="8"/>
      <c r="F16" s="8">
        <v>-11806938</v>
      </c>
      <c r="G16" s="8">
        <f>+C16</f>
        <v>-1135985.9235</v>
      </c>
      <c r="H16" s="8">
        <f t="shared" si="1"/>
        <v>10670952.0765</v>
      </c>
      <c r="I16" s="8"/>
      <c r="J16" s="8"/>
      <c r="K16" s="8"/>
      <c r="L16" s="8"/>
    </row>
    <row r="17" spans="2:12" ht="13.5" thickBot="1">
      <c r="B17" s="362">
        <f>SUM(B9:B16)</f>
        <v>6167827</v>
      </c>
      <c r="C17" s="362">
        <f>SUM(C9:C16)</f>
        <v>7874156.332500001</v>
      </c>
      <c r="D17" s="362">
        <f t="shared" si="0"/>
        <v>1706329.3325000014</v>
      </c>
      <c r="E17" s="8"/>
      <c r="F17" s="362">
        <f>SUM(F9:F16)</f>
        <v>7161479</v>
      </c>
      <c r="G17" s="362">
        <f>SUM(G9:G16)</f>
        <v>6090173.075592501</v>
      </c>
      <c r="H17" s="362">
        <f t="shared" si="1"/>
        <v>-1071305.924407499</v>
      </c>
      <c r="I17" s="8"/>
      <c r="J17" s="8"/>
      <c r="K17" s="8"/>
      <c r="L17" s="8"/>
    </row>
    <row r="18" spans="2:12" ht="13.5" thickTop="1">
      <c r="B18" s="8"/>
      <c r="C18" s="8"/>
      <c r="D18" s="8"/>
      <c r="E18" s="8"/>
      <c r="F18" s="8"/>
      <c r="G18" s="8"/>
      <c r="H18" s="8"/>
      <c r="I18" s="8"/>
      <c r="J18" s="8"/>
      <c r="K18" s="8"/>
      <c r="L18" s="8"/>
    </row>
    <row r="19" spans="2:12" ht="12.75">
      <c r="B19" s="8"/>
      <c r="C19" s="8"/>
      <c r="D19" s="8"/>
      <c r="E19" s="8"/>
      <c r="F19" s="8"/>
      <c r="G19" s="8"/>
      <c r="H19" s="8"/>
      <c r="I19" s="8"/>
      <c r="J19" s="8"/>
      <c r="K19" s="8"/>
      <c r="L19" s="8"/>
    </row>
    <row r="20" spans="2:12" ht="12.75">
      <c r="B20" s="8"/>
      <c r="C20" s="8"/>
      <c r="D20" s="8"/>
      <c r="E20" s="8"/>
      <c r="F20" s="8"/>
      <c r="G20" s="8"/>
      <c r="H20" s="8"/>
      <c r="I20" s="8"/>
      <c r="J20" s="8"/>
      <c r="K20" s="8"/>
      <c r="L20" s="8"/>
    </row>
    <row r="21" spans="2:12" ht="12.75">
      <c r="B21" s="8"/>
      <c r="C21" s="8"/>
      <c r="D21" s="8"/>
      <c r="E21" s="8"/>
      <c r="F21" s="8"/>
      <c r="G21" s="8"/>
      <c r="H21" s="8"/>
      <c r="I21" s="8"/>
      <c r="J21" s="8"/>
      <c r="K21" s="8"/>
      <c r="L21" s="8"/>
    </row>
    <row r="22" spans="2:12" ht="12.75">
      <c r="B22" s="8"/>
      <c r="C22" s="8"/>
      <c r="D22" s="8"/>
      <c r="E22" s="8"/>
      <c r="F22" s="8"/>
      <c r="G22" s="8"/>
      <c r="H22" s="8"/>
      <c r="I22" s="8"/>
      <c r="J22" s="8"/>
      <c r="K22" s="8"/>
      <c r="L22" s="8"/>
    </row>
    <row r="23" spans="2:12" ht="12.75">
      <c r="B23" s="8"/>
      <c r="C23" s="8"/>
      <c r="D23" s="8"/>
      <c r="E23" s="8"/>
      <c r="F23" s="8"/>
      <c r="G23" s="8"/>
      <c r="H23" s="8"/>
      <c r="I23" s="8"/>
      <c r="J23" s="8"/>
      <c r="K23" s="8"/>
      <c r="L23" s="8"/>
    </row>
    <row r="24" spans="2:12" ht="12.75">
      <c r="B24" s="8"/>
      <c r="C24" s="8"/>
      <c r="D24" s="8"/>
      <c r="E24" s="8"/>
      <c r="F24" s="8"/>
      <c r="G24" s="8"/>
      <c r="H24" s="8"/>
      <c r="I24" s="8"/>
      <c r="J24" s="8"/>
      <c r="K24" s="8"/>
      <c r="L24" s="8"/>
    </row>
    <row r="25" spans="2:12" ht="12.75">
      <c r="B25" s="8"/>
      <c r="C25" s="8"/>
      <c r="D25" s="8"/>
      <c r="E25" s="8"/>
      <c r="F25" s="8"/>
      <c r="G25" s="8"/>
      <c r="H25" s="8"/>
      <c r="I25" s="8"/>
      <c r="J25" s="8"/>
      <c r="K25" s="8"/>
      <c r="L25" s="8"/>
    </row>
    <row r="26" spans="2:12" ht="12.75">
      <c r="B26" s="8"/>
      <c r="C26" s="8"/>
      <c r="D26" s="8"/>
      <c r="E26" s="8"/>
      <c r="F26" s="8"/>
      <c r="G26" s="8"/>
      <c r="H26" s="8"/>
      <c r="I26" s="8"/>
      <c r="J26" s="8"/>
      <c r="K26" s="8"/>
      <c r="L26" s="8"/>
    </row>
    <row r="27" spans="2:12" ht="12.75">
      <c r="B27" s="8"/>
      <c r="C27" s="8"/>
      <c r="D27" s="8"/>
      <c r="E27" s="8"/>
      <c r="F27" s="8"/>
      <c r="G27" s="8"/>
      <c r="H27" s="8"/>
      <c r="I27" s="8"/>
      <c r="J27" s="8"/>
      <c r="K27" s="8"/>
      <c r="L27" s="8"/>
    </row>
    <row r="28" spans="2:12" ht="12.75">
      <c r="B28" s="8"/>
      <c r="C28" s="8"/>
      <c r="D28" s="8"/>
      <c r="E28" s="8"/>
      <c r="F28" s="8"/>
      <c r="G28" s="8"/>
      <c r="H28" s="8"/>
      <c r="I28" s="8"/>
      <c r="J28" s="8"/>
      <c r="K28" s="8"/>
      <c r="L28" s="8"/>
    </row>
    <row r="29" spans="2:12" ht="12.75">
      <c r="B29" s="8"/>
      <c r="C29" s="8"/>
      <c r="D29" s="8"/>
      <c r="E29" s="8"/>
      <c r="F29" s="8"/>
      <c r="G29" s="8"/>
      <c r="H29" s="8"/>
      <c r="I29" s="8"/>
      <c r="J29" s="8"/>
      <c r="K29" s="8"/>
      <c r="L29" s="8"/>
    </row>
  </sheetData>
  <mergeCells count="2">
    <mergeCell ref="B5:D5"/>
    <mergeCell ref="F5:H5"/>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B1:H16"/>
  <sheetViews>
    <sheetView zoomScale="75" zoomScaleNormal="75" workbookViewId="0" topLeftCell="A1">
      <selection activeCell="C8" sqref="C8:D9"/>
    </sheetView>
  </sheetViews>
  <sheetFormatPr defaultColWidth="9.140625" defaultRowHeight="12.75"/>
  <cols>
    <col min="1" max="1" width="3.28125" style="0" customWidth="1"/>
    <col min="2" max="2" width="26.28125" style="0" customWidth="1"/>
  </cols>
  <sheetData>
    <row r="1" ht="12.75" customHeight="1">
      <c r="B1" s="5" t="s">
        <v>98</v>
      </c>
    </row>
    <row r="3" spans="3:8" ht="12.75">
      <c r="C3" s="416" t="s">
        <v>3</v>
      </c>
      <c r="D3" s="416"/>
      <c r="E3" s="414" t="s">
        <v>100</v>
      </c>
      <c r="F3" s="414"/>
      <c r="G3" s="414" t="s">
        <v>118</v>
      </c>
      <c r="H3" s="414"/>
    </row>
    <row r="4" spans="3:8" ht="12.75">
      <c r="C4" s="4"/>
      <c r="D4" s="4"/>
      <c r="E4" s="414"/>
      <c r="F4" s="414"/>
      <c r="G4" s="414"/>
      <c r="H4" s="414"/>
    </row>
    <row r="5" spans="3:8" ht="12.75">
      <c r="C5" s="384" t="s">
        <v>93</v>
      </c>
      <c r="D5" s="384"/>
      <c r="E5" s="384" t="s">
        <v>93</v>
      </c>
      <c r="F5" s="384"/>
      <c r="G5" s="384" t="s">
        <v>93</v>
      </c>
      <c r="H5" s="384"/>
    </row>
    <row r="6" spans="2:8" ht="12.75">
      <c r="B6" s="5" t="s">
        <v>99</v>
      </c>
      <c r="C6" s="3"/>
      <c r="D6" s="3"/>
      <c r="E6" s="3"/>
      <c r="F6" s="3"/>
      <c r="G6" s="3"/>
      <c r="H6" s="3"/>
    </row>
    <row r="7" spans="2:8" ht="12.75">
      <c r="B7" s="1" t="s">
        <v>101</v>
      </c>
      <c r="C7" s="420">
        <f>+ROUND((+'CONS-P&amp;L,BS'!H14)/1000,0)</f>
        <v>1271</v>
      </c>
      <c r="D7" s="409"/>
      <c r="E7" s="515">
        <f>+ROUND(((+'CONS-P&amp;L,BS'!H23+'CONS-P&amp;L,BS'!I23+'CONS-P&amp;L,BS'!C23)+('CONS-P&amp;L,BS'!AK23-'CONS-P&amp;L,BS'!AM23))/1000,0)</f>
        <v>-591</v>
      </c>
      <c r="F7" s="515"/>
      <c r="G7" s="420">
        <f>+ROUND('CONS-P&amp;L,BS'!J147/1000,0)</f>
        <v>183169</v>
      </c>
      <c r="H7" s="409"/>
    </row>
    <row r="8" spans="2:8" ht="12.75">
      <c r="B8" s="410" t="s">
        <v>102</v>
      </c>
      <c r="C8" s="420">
        <f>+ROUND((+'CONS-P&amp;L,BS'!D10)/1000,0)</f>
        <v>0</v>
      </c>
      <c r="D8" s="409"/>
      <c r="E8" s="420">
        <f>+ROUND((+'CONS-P&amp;L,BS'!D23-'CONS-P&amp;L,BS'!X23)/1000,0)</f>
        <v>8466</v>
      </c>
      <c r="F8" s="409"/>
      <c r="G8" s="420">
        <f>+ROUND(('CONS-P&amp;L,BS'!D148)/1000,0)</f>
        <v>278841</v>
      </c>
      <c r="H8" s="409"/>
    </row>
    <row r="9" spans="2:8" ht="12.75">
      <c r="B9" s="410"/>
      <c r="C9" s="409"/>
      <c r="D9" s="409"/>
      <c r="E9" s="409"/>
      <c r="F9" s="409"/>
      <c r="G9" s="409"/>
      <c r="H9" s="409"/>
    </row>
    <row r="10" spans="2:8" ht="12.75">
      <c r="B10" s="1" t="s">
        <v>103</v>
      </c>
      <c r="C10" s="413" t="s">
        <v>105</v>
      </c>
      <c r="D10" s="413"/>
      <c r="E10" s="413" t="s">
        <v>104</v>
      </c>
      <c r="F10" s="413"/>
      <c r="G10" s="413" t="s">
        <v>105</v>
      </c>
      <c r="H10" s="413"/>
    </row>
    <row r="11" spans="3:8" ht="12.75">
      <c r="C11" s="418">
        <f>SUM(C7:D10)</f>
        <v>1271</v>
      </c>
      <c r="D11" s="419"/>
      <c r="E11" s="418">
        <f>SUM(E7:F10)</f>
        <v>7875</v>
      </c>
      <c r="F11" s="419"/>
      <c r="G11" s="418">
        <f>SUM(G7:H10)</f>
        <v>462010</v>
      </c>
      <c r="H11" s="419"/>
    </row>
    <row r="13" ht="12.75">
      <c r="B13" s="5" t="s">
        <v>106</v>
      </c>
    </row>
    <row r="14" spans="2:8" ht="12.75">
      <c r="B14" s="1" t="s">
        <v>107</v>
      </c>
      <c r="C14" s="420">
        <f>+ROUND(('CONS-P&amp;L,BS'!C14+'CONS-P&amp;L,BS'!D14)/1000,0)</f>
        <v>116026</v>
      </c>
      <c r="D14" s="409"/>
      <c r="E14" s="420">
        <f>+ROUND((('CONS-P&amp;L,BS'!C23+'CONS-P&amp;L,BS'!D23)-('CONS-P&amp;L,BS'!X23))/1000,0)</f>
        <v>8182</v>
      </c>
      <c r="F14" s="409"/>
      <c r="G14" s="420">
        <f>+ROUND((+'CONS-P&amp;L,BS'!J143)/1000,0)+1</f>
        <v>389408</v>
      </c>
      <c r="H14" s="409"/>
    </row>
    <row r="15" spans="2:8" ht="12.75">
      <c r="B15" s="1" t="s">
        <v>108</v>
      </c>
      <c r="C15" s="420">
        <f>+ROUND(('CONS-P&amp;L,BS'!G14+'CONS-P&amp;L,BS'!H14)/1000,0)</f>
        <v>1271</v>
      </c>
      <c r="D15" s="409"/>
      <c r="E15" s="515">
        <f>+ROUND((('CONS-P&amp;L,BS'!H23+'CONS-P&amp;L,BS'!I23)-('CONS-P&amp;L,BS'!AK23+'CONS-P&amp;L,BS'!AM23))/1000,0)+1</f>
        <v>-307</v>
      </c>
      <c r="F15" s="515"/>
      <c r="G15" s="420">
        <f>+ROUND((+'CONS-P&amp;L,BS'!J144)/1000,0)</f>
        <v>72603</v>
      </c>
      <c r="H15" s="409"/>
    </row>
    <row r="16" spans="3:8" ht="12.75">
      <c r="C16" s="418">
        <f>SUM(C14:D15)</f>
        <v>117297</v>
      </c>
      <c r="D16" s="419"/>
      <c r="E16" s="418">
        <f>SUM(E14:F15)</f>
        <v>7875</v>
      </c>
      <c r="F16" s="419"/>
      <c r="G16" s="418">
        <f>SUM(G14:H15)</f>
        <v>462011</v>
      </c>
      <c r="H16" s="419"/>
    </row>
  </sheetData>
  <mergeCells count="28">
    <mergeCell ref="C16:D16"/>
    <mergeCell ref="E16:F16"/>
    <mergeCell ref="G16:H16"/>
    <mergeCell ref="C14:D14"/>
    <mergeCell ref="E14:F14"/>
    <mergeCell ref="G14:H14"/>
    <mergeCell ref="C15:D15"/>
    <mergeCell ref="E15:F15"/>
    <mergeCell ref="G15:H15"/>
    <mergeCell ref="C10:D10"/>
    <mergeCell ref="E10:F10"/>
    <mergeCell ref="G10:H10"/>
    <mergeCell ref="C11:D11"/>
    <mergeCell ref="E11:F11"/>
    <mergeCell ref="G11:H11"/>
    <mergeCell ref="C7:D7"/>
    <mergeCell ref="E7:F7"/>
    <mergeCell ref="G7:H7"/>
    <mergeCell ref="B8:B9"/>
    <mergeCell ref="C8:D9"/>
    <mergeCell ref="E8:F9"/>
    <mergeCell ref="G8:H9"/>
    <mergeCell ref="C3:D3"/>
    <mergeCell ref="E3:F4"/>
    <mergeCell ref="G3:H4"/>
    <mergeCell ref="C5:D5"/>
    <mergeCell ref="E5:F5"/>
    <mergeCell ref="G5:H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63"/>
  <sheetViews>
    <sheetView zoomScale="75" zoomScaleNormal="75" workbookViewId="0" topLeftCell="A1">
      <selection activeCell="E46" sqref="E46"/>
    </sheetView>
  </sheetViews>
  <sheetFormatPr defaultColWidth="9.140625" defaultRowHeight="12.75"/>
  <cols>
    <col min="1" max="1" width="10.7109375" style="96" customWidth="1"/>
    <col min="2" max="2" width="35.7109375" style="35" customWidth="1"/>
    <col min="3" max="6" width="15.7109375" style="98" customWidth="1"/>
    <col min="7" max="7" width="8.7109375" style="35" customWidth="1"/>
  </cols>
  <sheetData>
    <row r="1" spans="1:7" ht="15">
      <c r="A1" s="96" t="s">
        <v>280</v>
      </c>
      <c r="B1" s="97"/>
      <c r="G1" s="99"/>
    </row>
    <row r="2" spans="1:7" ht="15">
      <c r="A2" s="100" t="s">
        <v>535</v>
      </c>
      <c r="B2" s="97"/>
      <c r="G2" s="99"/>
    </row>
    <row r="3" spans="1:7" ht="15">
      <c r="A3" s="101" t="s">
        <v>281</v>
      </c>
      <c r="B3" s="97"/>
      <c r="G3" s="99"/>
    </row>
    <row r="4" spans="2:7" ht="15">
      <c r="B4" s="102"/>
      <c r="G4" s="99"/>
    </row>
    <row r="5" spans="1:7" ht="15">
      <c r="A5" s="101"/>
      <c r="B5" s="103"/>
      <c r="G5" s="99"/>
    </row>
    <row r="6" spans="1:7" ht="15">
      <c r="A6" s="104" t="s">
        <v>282</v>
      </c>
      <c r="B6" s="105"/>
      <c r="C6" s="106" t="s">
        <v>224</v>
      </c>
      <c r="D6" s="106" t="s">
        <v>283</v>
      </c>
      <c r="E6" s="106" t="s">
        <v>284</v>
      </c>
      <c r="F6" s="106" t="s">
        <v>285</v>
      </c>
      <c r="G6" s="107"/>
    </row>
    <row r="7" spans="1:7" ht="15">
      <c r="A7" s="100"/>
      <c r="B7" s="99"/>
      <c r="D7" s="547">
        <v>0.715</v>
      </c>
      <c r="E7" s="547"/>
      <c r="F7" s="108">
        <v>0.285</v>
      </c>
      <c r="G7" s="108"/>
    </row>
    <row r="8" spans="1:7" ht="15">
      <c r="A8" s="100"/>
      <c r="B8" s="99"/>
      <c r="G8" s="99"/>
    </row>
    <row r="9" spans="1:7" ht="15">
      <c r="A9" s="100" t="s">
        <v>267</v>
      </c>
      <c r="B9" s="99"/>
      <c r="C9" s="109">
        <v>20000000</v>
      </c>
      <c r="D9" s="109">
        <v>14300000</v>
      </c>
      <c r="E9" s="109"/>
      <c r="F9" s="109">
        <f>+C9-D9</f>
        <v>5700000</v>
      </c>
      <c r="G9" s="99"/>
    </row>
    <row r="10" spans="1:7" ht="15">
      <c r="A10" s="100" t="s">
        <v>286</v>
      </c>
      <c r="B10" s="99"/>
      <c r="C10" s="110">
        <v>75104597</v>
      </c>
      <c r="D10" s="110">
        <v>53695498</v>
      </c>
      <c r="E10" s="110"/>
      <c r="F10" s="110">
        <f>+C10-D10</f>
        <v>21409099</v>
      </c>
      <c r="G10" s="99"/>
    </row>
    <row r="11" spans="1:7" ht="15">
      <c r="A11" s="100"/>
      <c r="B11" s="99"/>
      <c r="C11" s="109">
        <f>SUM(C9:C10)</f>
        <v>95104597</v>
      </c>
      <c r="D11" s="109">
        <f>SUM(D9:D10)</f>
        <v>67995498</v>
      </c>
      <c r="E11" s="111">
        <f>SUM(E9:E10)</f>
        <v>0</v>
      </c>
      <c r="F11" s="109">
        <f>SUM(F9:F10)</f>
        <v>27109099</v>
      </c>
      <c r="G11" s="99"/>
    </row>
    <row r="12" spans="1:7" ht="15">
      <c r="A12" s="100" t="s">
        <v>287</v>
      </c>
      <c r="B12" s="99"/>
      <c r="C12" s="109">
        <f>62621140-26960170-4320000</f>
        <v>31340970</v>
      </c>
      <c r="D12" s="109"/>
      <c r="E12" s="109">
        <f>42777405-19276522-3088800</f>
        <v>20412083</v>
      </c>
      <c r="F12" s="109">
        <f>+C12-E12</f>
        <v>10928887</v>
      </c>
      <c r="G12" s="99"/>
    </row>
    <row r="13" spans="1:7" ht="15">
      <c r="A13" s="100" t="s">
        <v>288</v>
      </c>
      <c r="B13" s="99"/>
      <c r="C13" s="109">
        <v>29513674</v>
      </c>
      <c r="D13" s="112"/>
      <c r="E13" s="109">
        <f>+D7*C13</f>
        <v>21102276.91</v>
      </c>
      <c r="F13" s="109">
        <f>+F7*C13</f>
        <v>8411397.09</v>
      </c>
      <c r="G13" s="99"/>
    </row>
    <row r="14" spans="1:7" ht="15">
      <c r="A14" s="100" t="s">
        <v>289</v>
      </c>
      <c r="B14" s="99"/>
      <c r="C14" s="110">
        <v>-10000000</v>
      </c>
      <c r="D14" s="110"/>
      <c r="E14" s="110">
        <f>+D7*C14</f>
        <v>-7150000</v>
      </c>
      <c r="F14" s="110">
        <f>+F7*C14</f>
        <v>-2849999.9999999995</v>
      </c>
      <c r="G14" s="99"/>
    </row>
    <row r="15" spans="1:7" ht="15">
      <c r="A15" s="100" t="s">
        <v>287</v>
      </c>
      <c r="B15" s="99"/>
      <c r="C15" s="112">
        <f>+C11+C12+C13+C14</f>
        <v>145959241</v>
      </c>
      <c r="D15" s="112"/>
      <c r="E15" s="112">
        <f>SUM(E11:E14)</f>
        <v>34364359.91</v>
      </c>
      <c r="F15" s="112">
        <f>SUM(F11:F14)</f>
        <v>43599383.09</v>
      </c>
      <c r="G15" s="99"/>
    </row>
    <row r="16" spans="1:7" ht="15">
      <c r="A16" s="100" t="s">
        <v>536</v>
      </c>
      <c r="B16" s="99"/>
      <c r="C16" s="112">
        <f>+'ACC-DMSB'!J21</f>
        <v>5928800</v>
      </c>
      <c r="D16" s="112"/>
      <c r="E16" s="112">
        <f>+D7*C16</f>
        <v>4239092</v>
      </c>
      <c r="F16" s="112">
        <f>+F7*C16</f>
        <v>1689707.9999999998</v>
      </c>
      <c r="G16" s="99"/>
    </row>
    <row r="17" spans="3:7" ht="15.75" thickBot="1">
      <c r="C17" s="113">
        <f>+C15+C16</f>
        <v>151888041</v>
      </c>
      <c r="D17" s="113">
        <f>+D11</f>
        <v>67995498</v>
      </c>
      <c r="E17" s="113">
        <f>SUM(E15:E16)</f>
        <v>38603451.91</v>
      </c>
      <c r="F17" s="113">
        <f>SUM(F15:F16)</f>
        <v>45289091.09</v>
      </c>
      <c r="G17" s="99"/>
    </row>
    <row r="18" spans="1:7" ht="15.75" thickTop="1">
      <c r="A18" s="100" t="s">
        <v>290</v>
      </c>
      <c r="B18" s="99"/>
      <c r="C18" s="83">
        <f>+'CONS-P&amp;L,BS'!D134-DMSB!C17</f>
        <v>-3</v>
      </c>
      <c r="D18" s="109">
        <v>54480394</v>
      </c>
      <c r="E18" s="109"/>
      <c r="F18" s="114"/>
      <c r="G18" s="99"/>
    </row>
    <row r="19" spans="1:7" ht="15">
      <c r="A19" s="100" t="s">
        <v>268</v>
      </c>
      <c r="B19" s="99"/>
      <c r="C19" s="109"/>
      <c r="D19" s="115">
        <f>D17-D18</f>
        <v>13515104</v>
      </c>
      <c r="E19" s="109"/>
      <c r="F19" s="109"/>
      <c r="G19" s="99"/>
    </row>
    <row r="20" spans="1:7" ht="15">
      <c r="A20" s="100" t="s">
        <v>291</v>
      </c>
      <c r="B20" s="99"/>
      <c r="C20" s="109"/>
      <c r="D20" s="112"/>
      <c r="E20" s="109"/>
      <c r="F20" s="109"/>
      <c r="G20" s="99"/>
    </row>
    <row r="21" spans="1:7" ht="15">
      <c r="A21" s="100" t="s">
        <v>292</v>
      </c>
      <c r="B21" s="99"/>
      <c r="C21" s="109"/>
      <c r="D21" s="112">
        <f>-540604*6</f>
        <v>-3243624</v>
      </c>
      <c r="E21" s="109"/>
      <c r="F21" s="109"/>
      <c r="G21" s="99"/>
    </row>
    <row r="22" spans="1:7" ht="15">
      <c r="A22" s="100" t="s">
        <v>293</v>
      </c>
      <c r="B22" s="99"/>
      <c r="C22" s="109"/>
      <c r="D22" s="112">
        <f>-(13515104/25)*(3/12)</f>
        <v>-135151.04</v>
      </c>
      <c r="E22" s="109"/>
      <c r="F22" s="109"/>
      <c r="G22" s="99"/>
    </row>
    <row r="23" spans="1:7" ht="15.75" thickBot="1">
      <c r="A23" s="100" t="s">
        <v>294</v>
      </c>
      <c r="B23" s="99"/>
      <c r="C23" s="109"/>
      <c r="D23" s="113">
        <f>SUM(D19:D22)</f>
        <v>10136328.96</v>
      </c>
      <c r="E23" s="109"/>
      <c r="F23" s="109"/>
      <c r="G23" s="99"/>
    </row>
    <row r="24" spans="1:7" ht="15.75" thickTop="1">
      <c r="A24" s="100"/>
      <c r="B24" s="99"/>
      <c r="G24" s="99"/>
    </row>
    <row r="25" spans="1:7" ht="15">
      <c r="A25" s="100"/>
      <c r="B25" s="99"/>
      <c r="G25" s="99"/>
    </row>
    <row r="26" spans="1:7" ht="15">
      <c r="A26" s="100"/>
      <c r="B26" s="99"/>
      <c r="C26" s="106" t="s">
        <v>295</v>
      </c>
      <c r="D26" s="106" t="s">
        <v>296</v>
      </c>
      <c r="E26" s="116" t="s">
        <v>297</v>
      </c>
      <c r="G26" s="99"/>
    </row>
    <row r="27" spans="1:7" ht="15">
      <c r="A27" s="117" t="s">
        <v>298</v>
      </c>
      <c r="B27" s="99"/>
      <c r="G27" s="99"/>
    </row>
    <row r="28" spans="1:7" ht="15">
      <c r="A28" s="118" t="s">
        <v>204</v>
      </c>
      <c r="B28" s="99" t="s">
        <v>299</v>
      </c>
      <c r="C28" s="98">
        <f>+C9</f>
        <v>20000000</v>
      </c>
      <c r="G28" s="99"/>
    </row>
    <row r="29" spans="1:7" ht="15">
      <c r="A29" s="35"/>
      <c r="B29" s="99" t="s">
        <v>300</v>
      </c>
      <c r="C29" s="98">
        <f>+C10</f>
        <v>75104597</v>
      </c>
      <c r="G29" s="99"/>
    </row>
    <row r="30" spans="1:7" ht="15">
      <c r="A30" s="35"/>
      <c r="B30" s="99" t="s">
        <v>301</v>
      </c>
      <c r="D30" s="98">
        <f>+D18</f>
        <v>54480394</v>
      </c>
      <c r="G30" s="99"/>
    </row>
    <row r="31" spans="1:7" ht="15">
      <c r="A31" s="119"/>
      <c r="B31" s="120" t="s">
        <v>302</v>
      </c>
      <c r="D31" s="98">
        <f>D19</f>
        <v>13515104</v>
      </c>
      <c r="G31" s="99"/>
    </row>
    <row r="32" spans="1:7" ht="15">
      <c r="A32" s="119"/>
      <c r="B32" s="99" t="s">
        <v>303</v>
      </c>
      <c r="D32" s="98">
        <f>+F11</f>
        <v>27109099</v>
      </c>
      <c r="G32" s="99"/>
    </row>
    <row r="33" spans="1:7" ht="15">
      <c r="A33" s="119"/>
      <c r="B33" s="99"/>
      <c r="C33" s="121">
        <f>SUM(C28:C32)</f>
        <v>95104597</v>
      </c>
      <c r="D33" s="121">
        <f>SUM(D28:D32)</f>
        <v>95104597</v>
      </c>
      <c r="G33" s="99"/>
    </row>
    <row r="34" spans="1:7" ht="15">
      <c r="A34" s="119"/>
      <c r="B34" s="99" t="s">
        <v>304</v>
      </c>
      <c r="G34" s="99"/>
    </row>
    <row r="35" spans="1:7" ht="15">
      <c r="A35" s="119"/>
      <c r="B35" s="99"/>
      <c r="G35" s="99"/>
    </row>
    <row r="36" spans="1:7" ht="15">
      <c r="A36" s="119"/>
      <c r="B36" s="99"/>
      <c r="G36" s="99"/>
    </row>
    <row r="37" spans="1:7" ht="15">
      <c r="A37" s="118" t="s">
        <v>205</v>
      </c>
      <c r="B37" s="99" t="s">
        <v>305</v>
      </c>
      <c r="C37" s="98">
        <f>D38+D39</f>
        <v>3378775.04</v>
      </c>
      <c r="G37" s="99"/>
    </row>
    <row r="38" spans="1:7" ht="15">
      <c r="A38" s="119"/>
      <c r="B38" s="99" t="s">
        <v>306</v>
      </c>
      <c r="D38" s="98">
        <f>-D21</f>
        <v>3243624</v>
      </c>
      <c r="E38" s="98" t="s">
        <v>537</v>
      </c>
      <c r="G38" s="99"/>
    </row>
    <row r="39" spans="1:7" ht="15">
      <c r="A39" s="119"/>
      <c r="B39" s="99" t="s">
        <v>307</v>
      </c>
      <c r="D39" s="98">
        <f>-D22</f>
        <v>135151.04</v>
      </c>
      <c r="E39" s="98" t="s">
        <v>538</v>
      </c>
      <c r="G39" s="99"/>
    </row>
    <row r="40" spans="1:7" ht="15">
      <c r="A40" s="119"/>
      <c r="B40" s="99"/>
      <c r="C40" s="121">
        <f>SUM(C37:C39)</f>
        <v>3378775.04</v>
      </c>
      <c r="D40" s="121">
        <f>SUM(D37:D39)</f>
        <v>3378775.04</v>
      </c>
      <c r="G40" s="99"/>
    </row>
    <row r="41" spans="1:7" ht="15">
      <c r="A41" s="119"/>
      <c r="B41" s="99" t="s">
        <v>308</v>
      </c>
      <c r="G41" s="99"/>
    </row>
    <row r="42" spans="1:7" ht="15">
      <c r="A42" s="119"/>
      <c r="B42" s="99"/>
      <c r="G42" s="99"/>
    </row>
    <row r="43" spans="1:7" ht="15">
      <c r="A43" s="119"/>
      <c r="B43" s="99"/>
      <c r="G43" s="99"/>
    </row>
    <row r="44" spans="1:7" ht="15">
      <c r="A44" s="119" t="s">
        <v>206</v>
      </c>
      <c r="B44" s="99" t="s">
        <v>300</v>
      </c>
      <c r="C44" s="98">
        <f>+F12+F13+F14</f>
        <v>16490284.09</v>
      </c>
      <c r="G44" s="99"/>
    </row>
    <row r="45" spans="1:7" ht="15">
      <c r="A45" s="119"/>
      <c r="B45" s="99" t="s">
        <v>309</v>
      </c>
      <c r="C45" s="98">
        <f>+F16</f>
        <v>1689707.9999999998</v>
      </c>
      <c r="G45" s="99"/>
    </row>
    <row r="46" spans="1:7" ht="15">
      <c r="A46" s="119"/>
      <c r="B46" s="99" t="s">
        <v>303</v>
      </c>
      <c r="D46" s="98">
        <f>F12+F13+F14+F16</f>
        <v>18179992.09</v>
      </c>
      <c r="E46" s="98">
        <f>D46+D32</f>
        <v>45289091.09</v>
      </c>
      <c r="G46" s="99"/>
    </row>
    <row r="47" spans="1:7" ht="15">
      <c r="A47" s="119"/>
      <c r="B47" s="99"/>
      <c r="C47" s="121">
        <f>SUM(C44:C46)</f>
        <v>18179992.09</v>
      </c>
      <c r="D47" s="121">
        <f>SUM(D44:D46)</f>
        <v>18179992.09</v>
      </c>
      <c r="G47" s="99"/>
    </row>
    <row r="48" spans="1:7" ht="15">
      <c r="A48" s="119"/>
      <c r="B48" s="99" t="s">
        <v>310</v>
      </c>
      <c r="G48" s="99"/>
    </row>
    <row r="49" spans="1:7" ht="15">
      <c r="A49" s="100"/>
      <c r="B49" s="99"/>
      <c r="G49" s="99"/>
    </row>
    <row r="50" spans="1:7" ht="15">
      <c r="A50" s="100"/>
      <c r="B50" s="99"/>
      <c r="G50" s="99"/>
    </row>
    <row r="51" spans="1:7" ht="15">
      <c r="A51" s="119" t="s">
        <v>207</v>
      </c>
      <c r="B51" s="99" t="s">
        <v>311</v>
      </c>
      <c r="C51" s="98">
        <v>0</v>
      </c>
      <c r="G51" s="99"/>
    </row>
    <row r="52" spans="1:7" ht="15">
      <c r="A52" s="119"/>
      <c r="B52" s="99" t="s">
        <v>312</v>
      </c>
      <c r="C52" s="98">
        <v>0</v>
      </c>
      <c r="G52" s="99"/>
    </row>
    <row r="53" spans="1:7" ht="15">
      <c r="A53" s="119"/>
      <c r="B53" s="99" t="s">
        <v>313</v>
      </c>
      <c r="D53" s="98">
        <v>0</v>
      </c>
      <c r="G53" s="99"/>
    </row>
    <row r="54" spans="1:7" ht="15">
      <c r="A54" s="119"/>
      <c r="B54" s="99" t="s">
        <v>314</v>
      </c>
      <c r="D54" s="98">
        <v>0</v>
      </c>
      <c r="G54" s="99"/>
    </row>
    <row r="55" spans="1:7" ht="15">
      <c r="A55" s="119"/>
      <c r="B55" s="99"/>
      <c r="C55" s="121">
        <f>SUM(C51:C54)</f>
        <v>0</v>
      </c>
      <c r="D55" s="121">
        <f>SUM(D51:D54)</f>
        <v>0</v>
      </c>
      <c r="G55" s="99"/>
    </row>
    <row r="56" spans="1:7" ht="15">
      <c r="A56" s="119"/>
      <c r="B56" s="99" t="s">
        <v>315</v>
      </c>
      <c r="G56" s="99"/>
    </row>
    <row r="59" spans="1:3" ht="15">
      <c r="A59" s="119" t="s">
        <v>208</v>
      </c>
      <c r="B59" s="99" t="s">
        <v>316</v>
      </c>
      <c r="C59" s="98">
        <v>0</v>
      </c>
    </row>
    <row r="60" spans="1:4" ht="15">
      <c r="A60" s="119"/>
      <c r="B60" s="99" t="s">
        <v>317</v>
      </c>
      <c r="D60" s="98">
        <f>0.715*C59</f>
        <v>0</v>
      </c>
    </row>
    <row r="61" spans="1:4" ht="15">
      <c r="A61" s="119"/>
      <c r="B61" s="99" t="s">
        <v>318</v>
      </c>
      <c r="D61" s="98">
        <f>0.285*C59</f>
        <v>0</v>
      </c>
    </row>
    <row r="62" spans="1:4" ht="15">
      <c r="A62" s="119"/>
      <c r="B62" s="99"/>
      <c r="C62" s="121">
        <f>SUM(C59:C61)</f>
        <v>0</v>
      </c>
      <c r="D62" s="121">
        <f>SUM(D59:D61)</f>
        <v>0</v>
      </c>
    </row>
    <row r="63" spans="1:2" ht="15">
      <c r="A63" s="119"/>
      <c r="B63" s="99" t="s">
        <v>315</v>
      </c>
    </row>
  </sheetData>
  <mergeCells count="1">
    <mergeCell ref="D7:E7"/>
  </mergeCells>
  <printOptions/>
  <pageMargins left="0.75" right="0.75" top="1" bottom="1" header="0.5" footer="0.5"/>
  <pageSetup horizontalDpi="300" verticalDpi="300" orientation="portrait" scale="80" r:id="rId1"/>
</worksheet>
</file>

<file path=xl/worksheets/sheet9.xml><?xml version="1.0" encoding="utf-8"?>
<worksheet xmlns="http://schemas.openxmlformats.org/spreadsheetml/2006/main" xmlns:r="http://schemas.openxmlformats.org/officeDocument/2006/relationships">
  <dimension ref="A1:G132"/>
  <sheetViews>
    <sheetView zoomScale="75" zoomScaleNormal="75" workbookViewId="0" topLeftCell="A121">
      <selection activeCell="E130" sqref="E130"/>
    </sheetView>
  </sheetViews>
  <sheetFormatPr defaultColWidth="9.140625" defaultRowHeight="12.75"/>
  <cols>
    <col min="1" max="1" width="10.7109375" style="35" customWidth="1"/>
    <col min="2" max="2" width="35.7109375" style="35" customWidth="1"/>
    <col min="3" max="3" width="16.57421875" style="98" customWidth="1"/>
    <col min="4" max="4" width="16.8515625" style="98" customWidth="1"/>
    <col min="5" max="6" width="15.7109375" style="98" customWidth="1"/>
    <col min="7" max="7" width="6.8515625" style="0" customWidth="1"/>
  </cols>
  <sheetData>
    <row r="1" spans="1:2" ht="15">
      <c r="A1" s="35" t="s">
        <v>280</v>
      </c>
      <c r="B1" s="97"/>
    </row>
    <row r="2" spans="1:2" ht="15">
      <c r="A2" s="99" t="s">
        <v>319</v>
      </c>
      <c r="B2" s="97"/>
    </row>
    <row r="3" spans="1:2" ht="15">
      <c r="A3" s="103" t="s">
        <v>320</v>
      </c>
      <c r="B3" s="97"/>
    </row>
    <row r="4" ht="15">
      <c r="B4" s="102"/>
    </row>
    <row r="5" spans="1:6" ht="15" customHeight="1">
      <c r="A5" s="548" t="s">
        <v>321</v>
      </c>
      <c r="B5" s="548"/>
      <c r="C5" s="548"/>
      <c r="D5" s="548"/>
      <c r="E5" s="548"/>
      <c r="F5" s="548"/>
    </row>
    <row r="6" spans="1:6" ht="15" customHeight="1">
      <c r="A6" s="548"/>
      <c r="B6" s="548"/>
      <c r="C6" s="548"/>
      <c r="D6" s="548"/>
      <c r="E6" s="548"/>
      <c r="F6" s="548"/>
    </row>
    <row r="7" spans="1:6" ht="15" customHeight="1">
      <c r="A7" s="548"/>
      <c r="B7" s="548"/>
      <c r="C7" s="548"/>
      <c r="D7" s="548"/>
      <c r="E7" s="548"/>
      <c r="F7" s="548"/>
    </row>
    <row r="8" spans="1:6" ht="15" customHeight="1">
      <c r="A8" s="548"/>
      <c r="B8" s="548"/>
      <c r="C8" s="548"/>
      <c r="D8" s="548"/>
      <c r="E8" s="548"/>
      <c r="F8" s="548"/>
    </row>
    <row r="9" spans="1:6" ht="15" customHeight="1">
      <c r="A9" s="122"/>
      <c r="B9" s="122"/>
      <c r="C9" s="122"/>
      <c r="D9" s="122"/>
      <c r="E9" s="122"/>
      <c r="F9" s="122"/>
    </row>
    <row r="10" spans="1:6" ht="15" customHeight="1">
      <c r="A10" s="548" t="s">
        <v>322</v>
      </c>
      <c r="B10" s="548"/>
      <c r="C10" s="548"/>
      <c r="D10" s="548"/>
      <c r="E10" s="548"/>
      <c r="F10" s="548"/>
    </row>
    <row r="11" spans="1:6" ht="15" customHeight="1">
      <c r="A11" s="548"/>
      <c r="B11" s="548"/>
      <c r="C11" s="548"/>
      <c r="D11" s="548"/>
      <c r="E11" s="548"/>
      <c r="F11" s="548"/>
    </row>
    <row r="12" spans="1:6" ht="15" customHeight="1">
      <c r="A12" s="122"/>
      <c r="B12" s="122"/>
      <c r="C12" s="122"/>
      <c r="D12" s="122"/>
      <c r="E12" s="122"/>
      <c r="F12" s="122"/>
    </row>
    <row r="13" spans="1:6" ht="15" customHeight="1">
      <c r="A13" s="548" t="s">
        <v>323</v>
      </c>
      <c r="B13" s="548"/>
      <c r="C13" s="548"/>
      <c r="D13" s="548"/>
      <c r="E13" s="548"/>
      <c r="F13" s="548"/>
    </row>
    <row r="14" spans="1:6" ht="15" customHeight="1">
      <c r="A14" s="548"/>
      <c r="B14" s="548"/>
      <c r="C14" s="548"/>
      <c r="D14" s="548"/>
      <c r="E14" s="548"/>
      <c r="F14" s="548"/>
    </row>
    <row r="15" spans="1:6" ht="15" customHeight="1">
      <c r="A15" s="548"/>
      <c r="B15" s="548"/>
      <c r="C15" s="548"/>
      <c r="D15" s="548"/>
      <c r="E15" s="548"/>
      <c r="F15" s="548"/>
    </row>
    <row r="16" spans="1:6" ht="15" customHeight="1">
      <c r="A16" s="122"/>
      <c r="B16" s="122"/>
      <c r="C16" s="122"/>
      <c r="D16" s="122"/>
      <c r="E16" s="122"/>
      <c r="F16" s="122"/>
    </row>
    <row r="17" spans="1:6" ht="15" hidden="1">
      <c r="A17" s="105"/>
      <c r="B17" s="105"/>
      <c r="C17" s="106" t="s">
        <v>224</v>
      </c>
      <c r="D17" s="106" t="s">
        <v>283</v>
      </c>
      <c r="E17" s="106" t="s">
        <v>284</v>
      </c>
      <c r="F17" s="106" t="s">
        <v>285</v>
      </c>
    </row>
    <row r="18" spans="1:6" ht="15" hidden="1">
      <c r="A18" s="99"/>
      <c r="B18" s="99"/>
      <c r="D18" s="547">
        <v>0.601</v>
      </c>
      <c r="E18" s="547"/>
      <c r="F18" s="108">
        <v>0.399</v>
      </c>
    </row>
    <row r="19" spans="1:6" ht="15" hidden="1">
      <c r="A19" s="99" t="s">
        <v>267</v>
      </c>
      <c r="B19" s="99"/>
      <c r="C19" s="109">
        <v>18000000</v>
      </c>
      <c r="D19" s="109">
        <v>10818000</v>
      </c>
      <c r="E19" s="109"/>
      <c r="F19" s="109">
        <f>+C19-D19</f>
        <v>7182000</v>
      </c>
    </row>
    <row r="20" spans="1:6" ht="15" hidden="1">
      <c r="A20" s="99" t="s">
        <v>324</v>
      </c>
      <c r="B20" s="99"/>
      <c r="C20" s="109">
        <f>7366653-831629-5000000</f>
        <v>1535024</v>
      </c>
      <c r="D20" s="109"/>
      <c r="E20" s="109">
        <f>+C20-F20</f>
        <v>1676922</v>
      </c>
      <c r="F20" s="109">
        <f>3195478-331820-3005556</f>
        <v>-141898</v>
      </c>
    </row>
    <row r="21" spans="1:6" ht="15" hidden="1">
      <c r="A21" s="99" t="s">
        <v>325</v>
      </c>
      <c r="B21" s="99"/>
      <c r="C21" s="109"/>
      <c r="D21" s="112"/>
      <c r="E21" s="112"/>
      <c r="F21" s="112"/>
    </row>
    <row r="22" spans="1:6" ht="15" hidden="1">
      <c r="A22" s="99" t="s">
        <v>326</v>
      </c>
      <c r="B22" s="99"/>
      <c r="C22" s="109"/>
      <c r="D22" s="112"/>
      <c r="E22" s="112"/>
      <c r="F22" s="112"/>
    </row>
    <row r="23" spans="1:6" ht="15.75" hidden="1" thickBot="1">
      <c r="A23" s="99"/>
      <c r="B23" s="99"/>
      <c r="C23" s="113">
        <f>SUM(C19:C22)</f>
        <v>19535024</v>
      </c>
      <c r="D23" s="112"/>
      <c r="E23" s="113">
        <f>SUM(E19:E22)</f>
        <v>1676922</v>
      </c>
      <c r="F23" s="113">
        <f>SUM(F19:F22)</f>
        <v>7040102</v>
      </c>
    </row>
    <row r="24" spans="1:6" ht="15" hidden="1">
      <c r="A24" s="99" t="s">
        <v>290</v>
      </c>
      <c r="B24" s="99"/>
      <c r="C24" s="109"/>
      <c r="D24" s="109">
        <v>20282551</v>
      </c>
      <c r="E24" s="109"/>
      <c r="F24" s="114"/>
    </row>
    <row r="25" spans="1:6" ht="15.75" hidden="1" thickBot="1">
      <c r="A25" s="99" t="s">
        <v>327</v>
      </c>
      <c r="B25" s="99"/>
      <c r="C25" s="109"/>
      <c r="D25" s="113">
        <f>+D19-D24</f>
        <v>-9464551</v>
      </c>
      <c r="E25" s="109"/>
      <c r="F25" s="109"/>
    </row>
    <row r="26" spans="1:2" ht="15">
      <c r="A26" s="99"/>
      <c r="B26" s="99"/>
    </row>
    <row r="27" spans="1:6" ht="15" hidden="1">
      <c r="A27" s="99" t="s">
        <v>328</v>
      </c>
      <c r="B27" s="99"/>
      <c r="E27" s="123"/>
      <c r="F27" s="123"/>
    </row>
    <row r="28" spans="1:7" ht="15" hidden="1">
      <c r="A28" s="99" t="s">
        <v>329</v>
      </c>
      <c r="B28" s="99"/>
      <c r="F28" s="98">
        <v>4931647</v>
      </c>
      <c r="G28" s="124" t="s">
        <v>330</v>
      </c>
    </row>
    <row r="29" spans="1:7" ht="15" hidden="1">
      <c r="A29" s="99" t="s">
        <v>331</v>
      </c>
      <c r="B29" s="99"/>
      <c r="F29" s="98">
        <v>1981752</v>
      </c>
      <c r="G29" s="124" t="s">
        <v>332</v>
      </c>
    </row>
    <row r="30" spans="1:7" ht="15" hidden="1">
      <c r="A30" s="99" t="s">
        <v>333</v>
      </c>
      <c r="B30" s="99"/>
      <c r="F30" s="98">
        <f>D25</f>
        <v>-9464551</v>
      </c>
      <c r="G30" s="98"/>
    </row>
    <row r="31" spans="1:7" ht="15" hidden="1">
      <c r="A31" s="35" t="s">
        <v>334</v>
      </c>
      <c r="F31" s="125">
        <f>-F20</f>
        <v>141898</v>
      </c>
      <c r="G31" s="98"/>
    </row>
    <row r="32" spans="6:7" ht="15" hidden="1">
      <c r="F32" s="123">
        <f>SUM(E27:E31)</f>
        <v>0</v>
      </c>
      <c r="G32" s="98"/>
    </row>
    <row r="33" spans="1:7" ht="15" hidden="1">
      <c r="A33" s="35" t="s">
        <v>335</v>
      </c>
      <c r="F33" s="98">
        <f>C21</f>
        <v>0</v>
      </c>
      <c r="G33" s="98"/>
    </row>
    <row r="34" spans="1:7" ht="15" hidden="1">
      <c r="A34" s="35" t="s">
        <v>336</v>
      </c>
      <c r="F34" s="98">
        <f>-F21</f>
        <v>0</v>
      </c>
      <c r="G34" s="98"/>
    </row>
    <row r="35" spans="1:7" ht="15" hidden="1">
      <c r="A35" s="35" t="s">
        <v>337</v>
      </c>
      <c r="F35" s="98">
        <f>C22</f>
        <v>0</v>
      </c>
      <c r="G35" s="98"/>
    </row>
    <row r="36" spans="1:7" ht="15" hidden="1">
      <c r="A36" s="35" t="s">
        <v>338</v>
      </c>
      <c r="F36" s="98">
        <f>F22</f>
        <v>0</v>
      </c>
      <c r="G36" s="98"/>
    </row>
    <row r="37" spans="6:7" ht="15.75" hidden="1" thickBot="1">
      <c r="F37" s="126">
        <f>SUM(F32:F36)</f>
        <v>0</v>
      </c>
      <c r="G37" s="98"/>
    </row>
    <row r="38" ht="15">
      <c r="G38" s="98"/>
    </row>
    <row r="39" spans="1:7" ht="15" hidden="1">
      <c r="A39" s="127" t="s">
        <v>211</v>
      </c>
      <c r="B39" s="35" t="s">
        <v>299</v>
      </c>
      <c r="D39" s="98">
        <f>C19</f>
        <v>18000000</v>
      </c>
      <c r="G39" s="98"/>
    </row>
    <row r="40" spans="2:7" ht="15" hidden="1">
      <c r="B40" s="35" t="s">
        <v>339</v>
      </c>
      <c r="D40" s="98">
        <f>-D25</f>
        <v>9464551</v>
      </c>
      <c r="G40" s="98"/>
    </row>
    <row r="41" spans="2:7" ht="15" hidden="1">
      <c r="B41" s="35" t="s">
        <v>301</v>
      </c>
      <c r="E41" s="98">
        <f>D24</f>
        <v>20282551</v>
      </c>
      <c r="G41" s="98"/>
    </row>
    <row r="42" spans="2:7" ht="15" hidden="1">
      <c r="B42" s="35" t="s">
        <v>340</v>
      </c>
      <c r="E42" s="98">
        <f>F19</f>
        <v>7182000</v>
      </c>
      <c r="G42" s="98"/>
    </row>
    <row r="43" spans="4:7" ht="15" hidden="1">
      <c r="D43" s="121">
        <f>SUM(D39:D42)</f>
        <v>27464551</v>
      </c>
      <c r="E43" s="121">
        <f>SUM(E39:E42)</f>
        <v>27464551</v>
      </c>
      <c r="G43" s="98"/>
    </row>
    <row r="44" spans="2:7" ht="15" hidden="1">
      <c r="B44" s="35" t="s">
        <v>341</v>
      </c>
      <c r="C44" s="123"/>
      <c r="D44" s="123"/>
      <c r="G44" s="98"/>
    </row>
    <row r="45" spans="3:7" ht="15" hidden="1">
      <c r="C45" s="123"/>
      <c r="D45" s="123"/>
      <c r="G45" s="98"/>
    </row>
    <row r="46" ht="15" hidden="1">
      <c r="G46" s="98"/>
    </row>
    <row r="47" spans="1:7" ht="15" hidden="1">
      <c r="A47" s="127" t="s">
        <v>212</v>
      </c>
      <c r="B47" s="99" t="s">
        <v>300</v>
      </c>
      <c r="D47" s="98">
        <f>D40</f>
        <v>9464551</v>
      </c>
      <c r="G47" s="98"/>
    </row>
    <row r="48" spans="2:7" ht="15" hidden="1">
      <c r="B48" s="99" t="s">
        <v>342</v>
      </c>
      <c r="E48" s="98">
        <f>D47</f>
        <v>9464551</v>
      </c>
      <c r="G48" s="98"/>
    </row>
    <row r="49" spans="2:7" ht="15" hidden="1">
      <c r="B49" s="99"/>
      <c r="C49" s="123"/>
      <c r="D49" s="123"/>
      <c r="G49" s="98"/>
    </row>
    <row r="50" spans="2:7" ht="15" hidden="1">
      <c r="B50" s="99" t="s">
        <v>343</v>
      </c>
      <c r="G50" s="98"/>
    </row>
    <row r="51" ht="15" hidden="1">
      <c r="G51" s="98"/>
    </row>
    <row r="52" ht="15" hidden="1">
      <c r="G52" s="98"/>
    </row>
    <row r="53" spans="1:7" ht="15" hidden="1">
      <c r="A53" s="128" t="s">
        <v>213</v>
      </c>
      <c r="B53" s="99" t="s">
        <v>300</v>
      </c>
      <c r="D53" s="98">
        <f>F20</f>
        <v>-141898</v>
      </c>
      <c r="G53" s="98"/>
    </row>
    <row r="54" spans="2:7" ht="15" hidden="1">
      <c r="B54" s="99" t="s">
        <v>344</v>
      </c>
      <c r="E54" s="98">
        <f>-F21</f>
        <v>0</v>
      </c>
      <c r="G54" s="98"/>
    </row>
    <row r="55" spans="2:7" ht="15" hidden="1">
      <c r="B55" s="99" t="s">
        <v>340</v>
      </c>
      <c r="E55" s="98">
        <f>E56-E54</f>
        <v>-141898</v>
      </c>
      <c r="G55" s="98"/>
    </row>
    <row r="56" spans="2:7" ht="15" hidden="1">
      <c r="B56" s="99"/>
      <c r="D56" s="121">
        <f>SUM(D53:D55)</f>
        <v>-141898</v>
      </c>
      <c r="E56" s="121">
        <f>D56</f>
        <v>-141898</v>
      </c>
      <c r="G56" s="98"/>
    </row>
    <row r="57" spans="2:7" ht="15" hidden="1">
      <c r="B57" s="99" t="s">
        <v>345</v>
      </c>
      <c r="G57" s="98"/>
    </row>
    <row r="58" ht="15" hidden="1">
      <c r="G58" s="98"/>
    </row>
    <row r="59" ht="15" hidden="1">
      <c r="G59" s="98"/>
    </row>
    <row r="60" spans="1:7" ht="15" hidden="1">
      <c r="A60" s="129" t="s">
        <v>214</v>
      </c>
      <c r="B60" s="99" t="s">
        <v>346</v>
      </c>
      <c r="D60" s="98">
        <f>-F22</f>
        <v>0</v>
      </c>
      <c r="G60" s="98"/>
    </row>
    <row r="61" spans="2:7" ht="15" hidden="1">
      <c r="B61" s="99" t="s">
        <v>311</v>
      </c>
      <c r="D61" s="98">
        <f>-E22</f>
        <v>0</v>
      </c>
      <c r="G61" s="98"/>
    </row>
    <row r="62" spans="2:7" ht="15" hidden="1">
      <c r="B62" s="99" t="s">
        <v>313</v>
      </c>
      <c r="E62" s="98">
        <f>E63-E61</f>
        <v>0</v>
      </c>
      <c r="G62" s="98"/>
    </row>
    <row r="63" spans="2:7" ht="15" hidden="1">
      <c r="B63" s="99"/>
      <c r="D63" s="121">
        <f>SUM(D60:D62)</f>
        <v>0</v>
      </c>
      <c r="E63" s="121">
        <f>D63</f>
        <v>0</v>
      </c>
      <c r="G63" s="98"/>
    </row>
    <row r="64" spans="2:7" ht="15" hidden="1">
      <c r="B64" s="99" t="s">
        <v>347</v>
      </c>
      <c r="G64" s="98"/>
    </row>
    <row r="65" ht="15" hidden="1">
      <c r="G65" s="98"/>
    </row>
    <row r="66" ht="15" hidden="1">
      <c r="G66" s="98"/>
    </row>
    <row r="67" spans="1:7" ht="15" hidden="1">
      <c r="A67" s="127" t="s">
        <v>215</v>
      </c>
      <c r="B67" s="99" t="s">
        <v>346</v>
      </c>
      <c r="D67" s="98">
        <f>E68</f>
        <v>6913399</v>
      </c>
      <c r="G67" s="98"/>
    </row>
    <row r="68" spans="2:7" ht="15" hidden="1">
      <c r="B68" s="99" t="s">
        <v>306</v>
      </c>
      <c r="E68" s="98">
        <f>F28+F29</f>
        <v>6913399</v>
      </c>
      <c r="G68" s="98"/>
    </row>
    <row r="69" spans="2:7" ht="15" hidden="1">
      <c r="B69" s="99"/>
      <c r="G69" s="98"/>
    </row>
    <row r="70" spans="2:7" ht="15" hidden="1">
      <c r="B70" s="99" t="s">
        <v>348</v>
      </c>
      <c r="G70" s="98"/>
    </row>
    <row r="71" ht="15">
      <c r="G71" s="98"/>
    </row>
    <row r="72" spans="2:7" ht="15">
      <c r="B72" s="35" t="s">
        <v>349</v>
      </c>
      <c r="G72" s="98"/>
    </row>
    <row r="73" spans="1:7" ht="15">
      <c r="A73" s="129"/>
      <c r="B73" s="35" t="s">
        <v>350</v>
      </c>
      <c r="E73" s="98">
        <v>-9464551</v>
      </c>
      <c r="G73" s="98"/>
    </row>
    <row r="74" spans="1:7" ht="15">
      <c r="A74" s="129"/>
      <c r="B74" s="35" t="s">
        <v>351</v>
      </c>
      <c r="E74" s="98">
        <f>-3195478+3005556+331820</f>
        <v>141898</v>
      </c>
      <c r="G74" s="98"/>
    </row>
    <row r="75" spans="1:7" ht="15">
      <c r="A75" s="129"/>
      <c r="B75" s="35" t="s">
        <v>352</v>
      </c>
      <c r="G75" s="98"/>
    </row>
    <row r="76" spans="1:7" ht="15">
      <c r="A76" s="129"/>
      <c r="B76" s="35" t="s">
        <v>353</v>
      </c>
      <c r="E76" s="125">
        <v>6913399</v>
      </c>
      <c r="G76" s="98"/>
    </row>
    <row r="77" spans="1:7" ht="15">
      <c r="A77" s="129"/>
      <c r="E77" s="98">
        <f>SUM(E73:E76)</f>
        <v>-2409254</v>
      </c>
      <c r="G77" s="98"/>
    </row>
    <row r="78" spans="2:7" ht="15">
      <c r="B78" s="35" t="s">
        <v>354</v>
      </c>
      <c r="E78" s="98">
        <v>1535024</v>
      </c>
      <c r="G78" s="98"/>
    </row>
    <row r="79" spans="2:7" ht="15">
      <c r="B79" s="35" t="s">
        <v>355</v>
      </c>
      <c r="E79" s="130">
        <f>SUM(E77:E78)</f>
        <v>-874230</v>
      </c>
      <c r="G79" s="98"/>
    </row>
    <row r="80" spans="2:7" ht="15">
      <c r="B80" s="35" t="s">
        <v>356</v>
      </c>
      <c r="D80" s="131" t="s">
        <v>357</v>
      </c>
      <c r="E80" s="123">
        <f>-E79*20.2/60.1</f>
        <v>293834.3760399334</v>
      </c>
      <c r="G80" s="98"/>
    </row>
    <row r="81" spans="5:7" ht="15">
      <c r="E81" s="125"/>
      <c r="G81" s="98"/>
    </row>
    <row r="82" spans="2:7" ht="15.75" thickBot="1">
      <c r="B82" s="132" t="s">
        <v>358</v>
      </c>
      <c r="C82" s="1"/>
      <c r="E82" s="133">
        <f>SUM(E79:E80)</f>
        <v>-580395.6239600666</v>
      </c>
      <c r="G82" s="98"/>
    </row>
    <row r="83" ht="15.75" thickTop="1">
      <c r="G83" s="98"/>
    </row>
    <row r="84" spans="2:5" ht="15">
      <c r="B84" s="35" t="s">
        <v>359</v>
      </c>
      <c r="E84" s="98">
        <f>D24</f>
        <v>20282551</v>
      </c>
    </row>
    <row r="85" spans="2:5" ht="15">
      <c r="B85" s="35" t="s">
        <v>360</v>
      </c>
      <c r="D85" s="131" t="s">
        <v>361</v>
      </c>
      <c r="E85" s="98">
        <f>F89</f>
        <v>6839440</v>
      </c>
    </row>
    <row r="86" spans="2:5" ht="15.75" thickBot="1">
      <c r="B86" s="35" t="s">
        <v>362</v>
      </c>
      <c r="E86" s="126">
        <f>E84-E85</f>
        <v>13443111</v>
      </c>
    </row>
    <row r="87" ht="15.75" thickTop="1"/>
    <row r="89" spans="2:6" ht="15">
      <c r="B89" s="132" t="s">
        <v>363</v>
      </c>
      <c r="F89" s="98">
        <v>6839440</v>
      </c>
    </row>
    <row r="90" spans="2:6" ht="15">
      <c r="B90" s="132" t="s">
        <v>364</v>
      </c>
      <c r="D90" s="131" t="s">
        <v>361</v>
      </c>
      <c r="F90" s="125">
        <f>-E85</f>
        <v>-6839440</v>
      </c>
    </row>
    <row r="91" spans="2:6" ht="15">
      <c r="B91" s="132" t="s">
        <v>365</v>
      </c>
      <c r="F91" s="134">
        <f>SUM(F89:F90)</f>
        <v>0</v>
      </c>
    </row>
    <row r="92" ht="15">
      <c r="B92" s="132"/>
    </row>
    <row r="93" ht="15">
      <c r="B93" s="132" t="s">
        <v>366</v>
      </c>
    </row>
    <row r="94" spans="2:5" ht="15">
      <c r="B94" s="132" t="s">
        <v>354</v>
      </c>
      <c r="D94" s="131" t="s">
        <v>357</v>
      </c>
      <c r="E94" s="98">
        <f>-E80</f>
        <v>-293834.3760399334</v>
      </c>
    </row>
    <row r="95" spans="2:6" ht="15">
      <c r="B95" s="132" t="s">
        <v>367</v>
      </c>
      <c r="E95" s="125">
        <v>-13755</v>
      </c>
      <c r="F95" s="98">
        <f>-SUM(E94:E95)</f>
        <v>307589.3760399334</v>
      </c>
    </row>
    <row r="96" spans="2:5" ht="15">
      <c r="B96" s="132"/>
      <c r="E96" s="123"/>
    </row>
    <row r="97" spans="2:6" ht="15.75" thickBot="1">
      <c r="B97" s="132" t="s">
        <v>368</v>
      </c>
      <c r="F97" s="126">
        <f>SUM(F91:F96)</f>
        <v>307589.3760399334</v>
      </c>
    </row>
    <row r="98" ht="15.75" thickTop="1"/>
    <row r="99" spans="1:4" ht="15">
      <c r="A99" s="129" t="s">
        <v>211</v>
      </c>
      <c r="B99" s="35" t="s">
        <v>300</v>
      </c>
      <c r="D99" s="98">
        <v>0</v>
      </c>
    </row>
    <row r="100" spans="2:5" ht="15">
      <c r="B100" s="35" t="s">
        <v>369</v>
      </c>
      <c r="E100" s="98">
        <v>0</v>
      </c>
    </row>
    <row r="101" spans="2:5" ht="15">
      <c r="B101" s="35" t="s">
        <v>370</v>
      </c>
      <c r="E101" s="98">
        <v>0</v>
      </c>
    </row>
    <row r="102" ht="15">
      <c r="B102" s="35" t="s">
        <v>371</v>
      </c>
    </row>
    <row r="105" spans="1:4" ht="15">
      <c r="A105" s="129" t="s">
        <v>212</v>
      </c>
      <c r="B105" s="35" t="s">
        <v>372</v>
      </c>
      <c r="D105" s="98">
        <v>0</v>
      </c>
    </row>
    <row r="106" spans="2:5" ht="15">
      <c r="B106" s="35" t="s">
        <v>369</v>
      </c>
      <c r="E106" s="98">
        <f>D105-E107</f>
        <v>0</v>
      </c>
    </row>
    <row r="107" spans="2:5" ht="15">
      <c r="B107" s="35" t="s">
        <v>370</v>
      </c>
      <c r="E107" s="98">
        <f>D105*20.2/60.1</f>
        <v>0</v>
      </c>
    </row>
    <row r="108" ht="15">
      <c r="B108" s="35" t="s">
        <v>373</v>
      </c>
    </row>
    <row r="111" spans="1:4" ht="15">
      <c r="A111" s="129" t="s">
        <v>213</v>
      </c>
      <c r="B111" s="35" t="s">
        <v>374</v>
      </c>
      <c r="D111" s="98">
        <f>-E130</f>
        <v>143032.87361999997</v>
      </c>
    </row>
    <row r="112" spans="1:4" ht="15">
      <c r="A112" s="129"/>
      <c r="B112" s="35" t="s">
        <v>390</v>
      </c>
      <c r="D112" s="98">
        <v>0</v>
      </c>
    </row>
    <row r="113" spans="2:3" ht="15">
      <c r="B113" s="35" t="s">
        <v>375</v>
      </c>
      <c r="C113" s="98">
        <f>+D111</f>
        <v>143032.87361999997</v>
      </c>
    </row>
    <row r="116" spans="1:3" ht="15">
      <c r="A116" s="135" t="s">
        <v>214</v>
      </c>
      <c r="B116" s="35" t="s">
        <v>311</v>
      </c>
      <c r="C116" s="98">
        <v>0</v>
      </c>
    </row>
    <row r="117" spans="2:4" ht="15">
      <c r="B117" s="35" t="s">
        <v>376</v>
      </c>
      <c r="D117" s="98">
        <v>0</v>
      </c>
    </row>
    <row r="121" ht="15">
      <c r="A121" s="136" t="s">
        <v>377</v>
      </c>
    </row>
    <row r="122" ht="15">
      <c r="A122" s="35" t="s">
        <v>378</v>
      </c>
    </row>
    <row r="123" spans="1:5" ht="15">
      <c r="A123" s="35" t="s">
        <v>379</v>
      </c>
      <c r="E123" s="98">
        <f>E86</f>
        <v>13443111</v>
      </c>
    </row>
    <row r="124" ht="15">
      <c r="A124" s="137" t="s">
        <v>380</v>
      </c>
    </row>
    <row r="125" spans="1:5" ht="15">
      <c r="A125" s="129" t="s">
        <v>211</v>
      </c>
      <c r="B125" s="35" t="s">
        <v>381</v>
      </c>
      <c r="E125" s="98">
        <v>-580396</v>
      </c>
    </row>
    <row r="126" spans="1:5" ht="15">
      <c r="A126" s="129" t="s">
        <v>212</v>
      </c>
      <c r="B126" s="35" t="s">
        <v>541</v>
      </c>
      <c r="E126" s="98">
        <v>413079</v>
      </c>
    </row>
    <row r="127" spans="1:5" ht="15">
      <c r="A127" s="129" t="s">
        <v>213</v>
      </c>
      <c r="B127" s="35" t="s">
        <v>542</v>
      </c>
      <c r="E127" s="98">
        <v>-26024</v>
      </c>
    </row>
    <row r="128" spans="1:5" ht="15">
      <c r="A128" s="129"/>
      <c r="B128" s="35" t="s">
        <v>543</v>
      </c>
      <c r="E128" s="125">
        <v>-239400</v>
      </c>
    </row>
    <row r="129" spans="1:5" ht="15">
      <c r="A129" s="129"/>
      <c r="B129" s="35" t="s">
        <v>544</v>
      </c>
      <c r="E129" s="98">
        <f>SUM(E125:E128)</f>
        <v>-432741</v>
      </c>
    </row>
    <row r="130" spans="1:5" ht="15">
      <c r="A130" s="136"/>
      <c r="B130" s="35" t="s">
        <v>545</v>
      </c>
      <c r="E130" s="98">
        <f>0.399*'ACC-MBMI'!C10</f>
        <v>-143032.87361999997</v>
      </c>
    </row>
    <row r="131" spans="2:5" ht="15">
      <c r="B131" s="35" t="s">
        <v>546</v>
      </c>
      <c r="E131" s="123">
        <f>+C112</f>
        <v>0</v>
      </c>
    </row>
    <row r="132" spans="2:5" ht="15.75" thickBot="1">
      <c r="B132" s="35" t="s">
        <v>544</v>
      </c>
      <c r="E132" s="126">
        <f>SUM(E129:E131)</f>
        <v>-575773.87362</v>
      </c>
    </row>
    <row r="133" ht="15.75" thickTop="1"/>
  </sheetData>
  <mergeCells count="4">
    <mergeCell ref="A5:F8"/>
    <mergeCell ref="A10:F11"/>
    <mergeCell ref="A13:F15"/>
    <mergeCell ref="D18:E18"/>
  </mergeCells>
  <printOptions/>
  <pageMargins left="0.75" right="0.75" top="1" bottom="1" header="0.5" footer="0.5"/>
  <pageSetup horizontalDpi="300" verticalDpi="3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AAJ</cp:lastModifiedBy>
  <cp:lastPrinted>2000-05-25T08:48:17Z</cp:lastPrinted>
  <dcterms:created xsi:type="dcterms:W3CDTF">1999-11-15T04:35:14Z</dcterms:created>
  <cp:category/>
  <cp:version/>
  <cp:contentType/>
  <cp:contentStatus/>
</cp:coreProperties>
</file>